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17\Desktop\"/>
    </mc:Choice>
  </mc:AlternateContent>
  <bookViews>
    <workbookView xWindow="0" yWindow="0" windowWidth="28800" windowHeight="12600" activeTab="3"/>
  </bookViews>
  <sheets>
    <sheet name="Balance sheet_" sheetId="1" r:id="rId1"/>
    <sheet name="PL" sheetId="2" r:id="rId2"/>
    <sheet name="CF" sheetId="3" r:id="rId3"/>
    <sheet name="Op. metric&amp;Add info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0" i="4" l="1"/>
  <c r="S40" i="4"/>
  <c r="R40" i="4"/>
  <c r="T41" i="4" s="1"/>
  <c r="Q40" i="4"/>
  <c r="S41" i="4" s="1"/>
  <c r="P40" i="4"/>
  <c r="R41" i="4" s="1"/>
  <c r="O40" i="4"/>
  <c r="Q41" i="4" s="1"/>
  <c r="N40" i="4"/>
  <c r="P41" i="4" s="1"/>
  <c r="M40" i="4"/>
  <c r="O41" i="4" s="1"/>
  <c r="L40" i="4"/>
  <c r="L41" i="4" s="1"/>
  <c r="K40" i="4"/>
  <c r="K41" i="4" s="1"/>
  <c r="J40" i="4"/>
  <c r="I40" i="4"/>
  <c r="G40" i="4"/>
  <c r="F40" i="4"/>
  <c r="E40" i="4"/>
  <c r="G41" i="4" s="1"/>
  <c r="C40" i="4"/>
  <c r="E41" i="4" s="1"/>
  <c r="T31" i="4"/>
  <c r="S31" i="4"/>
  <c r="R31" i="4"/>
  <c r="Q31" i="4"/>
  <c r="P31" i="4"/>
  <c r="O31" i="4"/>
  <c r="I31" i="4"/>
  <c r="G31" i="4"/>
  <c r="E31" i="4"/>
  <c r="C31" i="4"/>
  <c r="S30" i="4"/>
  <c r="S32" i="4" s="1"/>
  <c r="K30" i="4"/>
  <c r="S29" i="4"/>
  <c r="M29" i="4"/>
  <c r="K29" i="4"/>
  <c r="E29" i="4"/>
  <c r="T23" i="4"/>
  <c r="R23" i="4"/>
  <c r="P23" i="4"/>
  <c r="N23" i="4"/>
  <c r="L23" i="4"/>
  <c r="J23" i="4"/>
  <c r="H23" i="4"/>
  <c r="F23" i="4"/>
  <c r="T22" i="4"/>
  <c r="R22" i="4"/>
  <c r="P22" i="4"/>
  <c r="N22" i="4"/>
  <c r="L22" i="4"/>
  <c r="J22" i="4"/>
  <c r="H22" i="4"/>
  <c r="F22" i="4"/>
  <c r="T21" i="4"/>
  <c r="R21" i="4"/>
  <c r="P21" i="4"/>
  <c r="N21" i="4"/>
  <c r="L21" i="4"/>
  <c r="J21" i="4"/>
  <c r="H21" i="4"/>
  <c r="F21" i="4"/>
  <c r="T15" i="4"/>
  <c r="S15" i="4"/>
  <c r="L15" i="4"/>
  <c r="K15" i="4"/>
  <c r="D15" i="4"/>
  <c r="C15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T11" i="4"/>
  <c r="T29" i="4" s="1"/>
  <c r="S11" i="4"/>
  <c r="R11" i="4"/>
  <c r="R29" i="4" s="1"/>
  <c r="Q11" i="4"/>
  <c r="P11" i="4"/>
  <c r="Q29" i="4" s="1"/>
  <c r="O11" i="4"/>
  <c r="O29" i="4" s="1"/>
  <c r="N11" i="4"/>
  <c r="N29" i="4" s="1"/>
  <c r="M11" i="4"/>
  <c r="L11" i="4"/>
  <c r="L29" i="4" s="1"/>
  <c r="K11" i="4"/>
  <c r="J11" i="4"/>
  <c r="J29" i="4" s="1"/>
  <c r="I11" i="4"/>
  <c r="H11" i="4"/>
  <c r="I29" i="4" s="1"/>
  <c r="G11" i="4"/>
  <c r="G29" i="4" s="1"/>
  <c r="F11" i="4"/>
  <c r="F29" i="4" s="1"/>
  <c r="E11" i="4"/>
  <c r="D11" i="4"/>
  <c r="C11" i="4"/>
  <c r="T7" i="4"/>
  <c r="S7" i="4"/>
  <c r="R7" i="4"/>
  <c r="Q7" i="4"/>
  <c r="P7" i="4"/>
  <c r="O7" i="4"/>
  <c r="N7" i="4"/>
  <c r="M7" i="4"/>
  <c r="L7" i="4"/>
  <c r="K7" i="4"/>
  <c r="J7" i="4"/>
  <c r="I7" i="4"/>
  <c r="M6" i="4"/>
  <c r="L6" i="4"/>
  <c r="K6" i="4"/>
  <c r="I6" i="4"/>
  <c r="G6" i="4"/>
  <c r="E6" i="4"/>
  <c r="D6" i="4"/>
  <c r="C6" i="4"/>
  <c r="H7" i="4"/>
  <c r="G7" i="4"/>
  <c r="F7" i="4"/>
  <c r="E7" i="4"/>
  <c r="D7" i="4"/>
  <c r="C7" i="4"/>
  <c r="T85" i="3"/>
  <c r="S85" i="3"/>
  <c r="R85" i="3"/>
  <c r="Q85" i="3"/>
  <c r="P85" i="3"/>
  <c r="O85" i="3"/>
  <c r="N85" i="3"/>
  <c r="L85" i="3"/>
  <c r="G85" i="3"/>
  <c r="E85" i="3"/>
  <c r="C85" i="3"/>
  <c r="D84" i="3"/>
  <c r="C84" i="3"/>
  <c r="T80" i="3"/>
  <c r="S80" i="3"/>
  <c r="R80" i="3"/>
  <c r="Q80" i="3"/>
  <c r="P80" i="3"/>
  <c r="O80" i="3"/>
  <c r="M80" i="3"/>
  <c r="L80" i="3"/>
  <c r="K80" i="3"/>
  <c r="J80" i="3"/>
  <c r="I80" i="3"/>
  <c r="H80" i="3"/>
  <c r="G80" i="3"/>
  <c r="F80" i="3"/>
  <c r="E80" i="3"/>
  <c r="D80" i="3"/>
  <c r="C80" i="3"/>
  <c r="N73" i="3"/>
  <c r="N80" i="3" s="1"/>
  <c r="N82" i="3" s="1"/>
  <c r="F70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Q57" i="3"/>
  <c r="P57" i="3"/>
  <c r="D57" i="3"/>
  <c r="Q52" i="3"/>
  <c r="Q67" i="3" s="1"/>
  <c r="T43" i="3"/>
  <c r="S43" i="3"/>
  <c r="R43" i="3"/>
  <c r="Q43" i="3"/>
  <c r="Q45" i="3" s="1"/>
  <c r="P43" i="3"/>
  <c r="P45" i="3" s="1"/>
  <c r="P52" i="3" s="1"/>
  <c r="P67" i="3" s="1"/>
  <c r="O43" i="3"/>
  <c r="O45" i="3" s="1"/>
  <c r="O52" i="3" s="1"/>
  <c r="O67" i="3" s="1"/>
  <c r="N43" i="3"/>
  <c r="N45" i="3" s="1"/>
  <c r="N52" i="3" s="1"/>
  <c r="N67" i="3" s="1"/>
  <c r="M43" i="3"/>
  <c r="K43" i="3"/>
  <c r="J43" i="3"/>
  <c r="I43" i="3"/>
  <c r="H43" i="3"/>
  <c r="G43" i="3"/>
  <c r="F43" i="3"/>
  <c r="E43" i="3"/>
  <c r="D43" i="3"/>
  <c r="C43" i="3"/>
  <c r="L34" i="3"/>
  <c r="L43" i="3" s="1"/>
  <c r="T31" i="3"/>
  <c r="T45" i="3" s="1"/>
  <c r="T52" i="3" s="1"/>
  <c r="T67" i="3" s="1"/>
  <c r="T82" i="3" s="1"/>
  <c r="S31" i="3"/>
  <c r="S45" i="3" s="1"/>
  <c r="S52" i="3" s="1"/>
  <c r="S67" i="3" s="1"/>
  <c r="R31" i="3"/>
  <c r="Q31" i="3"/>
  <c r="P31" i="3"/>
  <c r="O31" i="3"/>
  <c r="N31" i="3"/>
  <c r="D31" i="3"/>
  <c r="D45" i="3" s="1"/>
  <c r="D52" i="3" s="1"/>
  <c r="D67" i="3" s="1"/>
  <c r="D82" i="3" s="1"/>
  <c r="D87" i="3" s="1"/>
  <c r="C31" i="3"/>
  <c r="C45" i="3" s="1"/>
  <c r="C52" i="3" s="1"/>
  <c r="C67" i="3" s="1"/>
  <c r="S28" i="3"/>
  <c r="L24" i="3"/>
  <c r="J24" i="3"/>
  <c r="G24" i="3"/>
  <c r="F24" i="3"/>
  <c r="E24" i="3"/>
  <c r="D24" i="3"/>
  <c r="C24" i="3"/>
  <c r="L22" i="3"/>
  <c r="H22" i="3"/>
  <c r="G22" i="3"/>
  <c r="F22" i="3"/>
  <c r="E22" i="3"/>
  <c r="D22" i="3"/>
  <c r="C22" i="3"/>
  <c r="M17" i="3"/>
  <c r="M31" i="3" s="1"/>
  <c r="L17" i="3"/>
  <c r="K17" i="3"/>
  <c r="K31" i="3" s="1"/>
  <c r="K45" i="3" s="1"/>
  <c r="K52" i="3" s="1"/>
  <c r="K67" i="3" s="1"/>
  <c r="I17" i="3"/>
  <c r="M16" i="3"/>
  <c r="L16" i="3"/>
  <c r="K16" i="3"/>
  <c r="J16" i="3"/>
  <c r="J31" i="3" s="1"/>
  <c r="I16" i="3"/>
  <c r="L15" i="3"/>
  <c r="H15" i="3"/>
  <c r="H31" i="3" s="1"/>
  <c r="G15" i="3"/>
  <c r="F15" i="3"/>
  <c r="E15" i="3"/>
  <c r="D15" i="3"/>
  <c r="C15" i="3"/>
  <c r="L12" i="3"/>
  <c r="G12" i="3"/>
  <c r="F12" i="3"/>
  <c r="E12" i="3"/>
  <c r="D12" i="3"/>
  <c r="C12" i="3"/>
  <c r="H11" i="3"/>
  <c r="L10" i="3"/>
  <c r="L31" i="3" s="1"/>
  <c r="I10" i="3"/>
  <c r="I31" i="3" s="1"/>
  <c r="G10" i="3"/>
  <c r="E10" i="3"/>
  <c r="D10" i="3"/>
  <c r="C10" i="3"/>
  <c r="L9" i="3"/>
  <c r="G9" i="3"/>
  <c r="F9" i="3"/>
  <c r="E9" i="3"/>
  <c r="E31" i="3" s="1"/>
  <c r="D9" i="3"/>
  <c r="C9" i="3"/>
  <c r="P59" i="2"/>
  <c r="O59" i="2"/>
  <c r="T58" i="2"/>
  <c r="R58" i="2"/>
  <c r="T55" i="2"/>
  <c r="R55" i="2"/>
  <c r="T52" i="2"/>
  <c r="S52" i="2"/>
  <c r="R52" i="2"/>
  <c r="Q52" i="2"/>
  <c r="P52" i="2"/>
  <c r="O52" i="2"/>
  <c r="N52" i="2"/>
  <c r="T51" i="2"/>
  <c r="S51" i="2"/>
  <c r="R51" i="2"/>
  <c r="Q51" i="2"/>
  <c r="P51" i="2"/>
  <c r="O51" i="2"/>
  <c r="N51" i="2"/>
  <c r="M51" i="2"/>
  <c r="T50" i="2"/>
  <c r="S50" i="2"/>
  <c r="R50" i="2"/>
  <c r="Q50" i="2"/>
  <c r="P50" i="2"/>
  <c r="O50" i="2"/>
  <c r="M50" i="2"/>
  <c r="L50" i="2"/>
  <c r="K50" i="2"/>
  <c r="J50" i="2"/>
  <c r="I50" i="2"/>
  <c r="F50" i="2"/>
  <c r="D50" i="2"/>
  <c r="T49" i="2"/>
  <c r="S49" i="2"/>
  <c r="R49" i="2"/>
  <c r="Q49" i="2"/>
  <c r="P49" i="2"/>
  <c r="O49" i="2"/>
  <c r="N49" i="2"/>
  <c r="L49" i="2"/>
  <c r="H49" i="2"/>
  <c r="G49" i="2"/>
  <c r="F49" i="2"/>
  <c r="D49" i="2"/>
  <c r="O47" i="2"/>
  <c r="N47" i="2"/>
  <c r="Q45" i="2"/>
  <c r="Q47" i="2" s="1"/>
  <c r="P45" i="2"/>
  <c r="P47" i="2" s="1"/>
  <c r="O45" i="2"/>
  <c r="N45" i="2"/>
  <c r="N59" i="2" s="1"/>
  <c r="L45" i="2"/>
  <c r="L59" i="2" s="1"/>
  <c r="K42" i="2"/>
  <c r="T40" i="2"/>
  <c r="S40" i="2"/>
  <c r="R40" i="2"/>
  <c r="Q40" i="2"/>
  <c r="P40" i="2"/>
  <c r="O40" i="2"/>
  <c r="N40" i="2"/>
  <c r="L40" i="2"/>
  <c r="K40" i="2"/>
  <c r="H40" i="2"/>
  <c r="G40" i="2"/>
  <c r="F40" i="2"/>
  <c r="E40" i="2"/>
  <c r="D40" i="2"/>
  <c r="C40" i="2"/>
  <c r="M39" i="2"/>
  <c r="M40" i="2" s="1"/>
  <c r="L39" i="2"/>
  <c r="K39" i="2"/>
  <c r="J39" i="2"/>
  <c r="J40" i="2" s="1"/>
  <c r="I39" i="2"/>
  <c r="J38" i="2"/>
  <c r="I38" i="2"/>
  <c r="I40" i="2" s="1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F36" i="2"/>
  <c r="D36" i="2"/>
  <c r="T25" i="2"/>
  <c r="T45" i="2" s="1"/>
  <c r="S25" i="2"/>
  <c r="S45" i="2" s="1"/>
  <c r="S59" i="2" s="1"/>
  <c r="L25" i="2"/>
  <c r="K25" i="2"/>
  <c r="K45" i="2" s="1"/>
  <c r="K59" i="2" s="1"/>
  <c r="F25" i="2"/>
  <c r="F45" i="2" s="1"/>
  <c r="E25" i="2"/>
  <c r="E45" i="2" s="1"/>
  <c r="E47" i="2" s="1"/>
  <c r="D25" i="2"/>
  <c r="D45" i="2" s="1"/>
  <c r="C25" i="2"/>
  <c r="C45" i="2" s="1"/>
  <c r="C47" i="2" s="1"/>
  <c r="C18" i="4" s="1"/>
  <c r="T20" i="2"/>
  <c r="S20" i="2"/>
  <c r="R20" i="2"/>
  <c r="R15" i="4" s="1"/>
  <c r="Q20" i="2"/>
  <c r="Q15" i="4" s="1"/>
  <c r="P20" i="2"/>
  <c r="P15" i="4" s="1"/>
  <c r="O20" i="2"/>
  <c r="O15" i="4" s="1"/>
  <c r="N20" i="2"/>
  <c r="N15" i="4" s="1"/>
  <c r="M20" i="2"/>
  <c r="M15" i="4" s="1"/>
  <c r="L20" i="2"/>
  <c r="K20" i="2"/>
  <c r="J20" i="2"/>
  <c r="I20" i="2"/>
  <c r="H20" i="2"/>
  <c r="H15" i="4" s="1"/>
  <c r="G20" i="2"/>
  <c r="G15" i="4" s="1"/>
  <c r="F20" i="2"/>
  <c r="F15" i="4" s="1"/>
  <c r="E20" i="2"/>
  <c r="E15" i="4" s="1"/>
  <c r="D20" i="2"/>
  <c r="C20" i="2"/>
  <c r="S17" i="2"/>
  <c r="Q17" i="2"/>
  <c r="P17" i="2"/>
  <c r="O17" i="2"/>
  <c r="N17" i="2"/>
  <c r="M17" i="2"/>
  <c r="L17" i="2"/>
  <c r="K17" i="2"/>
  <c r="J17" i="2"/>
  <c r="I17" i="2"/>
  <c r="H14" i="2"/>
  <c r="G14" i="2"/>
  <c r="F14" i="2"/>
  <c r="D14" i="2"/>
  <c r="T10" i="2"/>
  <c r="M10" i="2"/>
  <c r="K10" i="2"/>
  <c r="M67" i="1"/>
  <c r="M69" i="1" s="1"/>
  <c r="L67" i="1"/>
  <c r="L69" i="1" s="1"/>
  <c r="H67" i="1"/>
  <c r="R65" i="1"/>
  <c r="P65" i="1"/>
  <c r="O65" i="1"/>
  <c r="N65" i="1"/>
  <c r="L65" i="1"/>
  <c r="J65" i="1"/>
  <c r="H65" i="1"/>
  <c r="G65" i="1"/>
  <c r="F65" i="1"/>
  <c r="E65" i="1"/>
  <c r="D65" i="1"/>
  <c r="C65" i="1"/>
  <c r="T61" i="1"/>
  <c r="T65" i="1" s="1"/>
  <c r="S61" i="1"/>
  <c r="S65" i="1" s="1"/>
  <c r="R61" i="1"/>
  <c r="Q61" i="1"/>
  <c r="Q65" i="1" s="1"/>
  <c r="Q67" i="1" s="1"/>
  <c r="Q69" i="1" s="1"/>
  <c r="P61" i="1"/>
  <c r="O61" i="1"/>
  <c r="N61" i="1"/>
  <c r="M61" i="1"/>
  <c r="K61" i="1"/>
  <c r="K65" i="1" s="1"/>
  <c r="I61" i="1"/>
  <c r="I65" i="1" s="1"/>
  <c r="I67" i="1" s="1"/>
  <c r="I69" i="1" s="1"/>
  <c r="M58" i="1"/>
  <c r="M65" i="1" s="1"/>
  <c r="T52" i="1"/>
  <c r="T67" i="1" s="1"/>
  <c r="T69" i="1" s="1"/>
  <c r="S52" i="1"/>
  <c r="R52" i="1"/>
  <c r="Q52" i="1"/>
  <c r="P52" i="1"/>
  <c r="P67" i="1" s="1"/>
  <c r="P69" i="1" s="1"/>
  <c r="O52" i="1"/>
  <c r="O67" i="1" s="1"/>
  <c r="O69" i="1" s="1"/>
  <c r="N52" i="1"/>
  <c r="N67" i="1" s="1"/>
  <c r="N69" i="1" s="1"/>
  <c r="M52" i="1"/>
  <c r="L52" i="1"/>
  <c r="K52" i="1"/>
  <c r="J52" i="1"/>
  <c r="I52" i="1"/>
  <c r="H52" i="1"/>
  <c r="G52" i="1"/>
  <c r="G67" i="1" s="1"/>
  <c r="G69" i="1" s="1"/>
  <c r="F52" i="1"/>
  <c r="F67" i="1" s="1"/>
  <c r="F69" i="1" s="1"/>
  <c r="E52" i="1"/>
  <c r="E67" i="1" s="1"/>
  <c r="E69" i="1" s="1"/>
  <c r="D52" i="1"/>
  <c r="D67" i="1" s="1"/>
  <c r="D69" i="1" s="1"/>
  <c r="C52" i="1"/>
  <c r="C67" i="1" s="1"/>
  <c r="C69" i="1" s="1"/>
  <c r="T45" i="1"/>
  <c r="T30" i="4" s="1"/>
  <c r="T32" i="4" s="1"/>
  <c r="S45" i="1"/>
  <c r="R45" i="1"/>
  <c r="R30" i="4" s="1"/>
  <c r="Q45" i="1"/>
  <c r="Q30" i="4" s="1"/>
  <c r="P45" i="1"/>
  <c r="P30" i="4" s="1"/>
  <c r="O45" i="1"/>
  <c r="O30" i="4" s="1"/>
  <c r="N45" i="1"/>
  <c r="N30" i="4" s="1"/>
  <c r="M45" i="1"/>
  <c r="M30" i="4" s="1"/>
  <c r="L45" i="1"/>
  <c r="L30" i="4" s="1"/>
  <c r="K45" i="1"/>
  <c r="I45" i="1"/>
  <c r="I30" i="4" s="1"/>
  <c r="H45" i="1"/>
  <c r="H30" i="4" s="1"/>
  <c r="G45" i="1"/>
  <c r="G30" i="4" s="1"/>
  <c r="J41" i="1"/>
  <c r="J40" i="1"/>
  <c r="H40" i="1"/>
  <c r="F40" i="1"/>
  <c r="J38" i="1"/>
  <c r="H38" i="1"/>
  <c r="F38" i="1"/>
  <c r="E38" i="1"/>
  <c r="D38" i="1"/>
  <c r="C38" i="1"/>
  <c r="C45" i="1" s="1"/>
  <c r="C30" i="4" s="1"/>
  <c r="J37" i="1"/>
  <c r="J45" i="1" s="1"/>
  <c r="J30" i="4" s="1"/>
  <c r="J32" i="4" s="1"/>
  <c r="H37" i="1"/>
  <c r="F37" i="1"/>
  <c r="F45" i="1" s="1"/>
  <c r="F30" i="4" s="1"/>
  <c r="E37" i="1"/>
  <c r="E45" i="1" s="1"/>
  <c r="E30" i="4" s="1"/>
  <c r="D37" i="1"/>
  <c r="D45" i="1" s="1"/>
  <c r="D30" i="4" s="1"/>
  <c r="O35" i="1"/>
  <c r="N35" i="1"/>
  <c r="C35" i="1"/>
  <c r="C71" i="1" s="1"/>
  <c r="T33" i="1"/>
  <c r="T35" i="1" s="1"/>
  <c r="S33" i="1"/>
  <c r="S35" i="1" s="1"/>
  <c r="R33" i="1"/>
  <c r="R35" i="1" s="1"/>
  <c r="Q33" i="1"/>
  <c r="Q35" i="1" s="1"/>
  <c r="P33" i="1"/>
  <c r="P35" i="1" s="1"/>
  <c r="P71" i="1" s="1"/>
  <c r="O33" i="1"/>
  <c r="N33" i="1"/>
  <c r="M33" i="1"/>
  <c r="M35" i="1" s="1"/>
  <c r="M71" i="1" s="1"/>
  <c r="L33" i="1"/>
  <c r="L35" i="1" s="1"/>
  <c r="K33" i="1"/>
  <c r="K35" i="1" s="1"/>
  <c r="J33" i="1"/>
  <c r="J35" i="1" s="1"/>
  <c r="I33" i="1"/>
  <c r="I35" i="1" s="1"/>
  <c r="H33" i="1"/>
  <c r="G33" i="1"/>
  <c r="F33" i="1"/>
  <c r="E33" i="1"/>
  <c r="E35" i="1" s="1"/>
  <c r="E71" i="1" s="1"/>
  <c r="D33" i="1"/>
  <c r="C33" i="1"/>
  <c r="N25" i="1"/>
  <c r="N31" i="4" s="1"/>
  <c r="M25" i="1"/>
  <c r="M31" i="4" s="1"/>
  <c r="L25" i="1"/>
  <c r="L31" i="4" s="1"/>
  <c r="K25" i="1"/>
  <c r="K31" i="4" s="1"/>
  <c r="J25" i="1"/>
  <c r="J31" i="4" s="1"/>
  <c r="H25" i="1"/>
  <c r="H31" i="4" s="1"/>
  <c r="F25" i="1"/>
  <c r="F31" i="4" s="1"/>
  <c r="D25" i="1"/>
  <c r="D31" i="4" s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T20" i="1"/>
  <c r="S20" i="1"/>
  <c r="R20" i="1"/>
  <c r="Q20" i="1"/>
  <c r="P20" i="1"/>
  <c r="O20" i="1"/>
  <c r="N20" i="1"/>
  <c r="M20" i="1"/>
  <c r="L20" i="1"/>
  <c r="K20" i="1"/>
  <c r="J20" i="1"/>
  <c r="I20" i="1"/>
  <c r="G20" i="1"/>
  <c r="G35" i="1" s="1"/>
  <c r="F20" i="1"/>
  <c r="F35" i="1" s="1"/>
  <c r="E20" i="1"/>
  <c r="C20" i="1"/>
  <c r="T8" i="1"/>
  <c r="R8" i="1"/>
  <c r="P8" i="1"/>
  <c r="N8" i="1"/>
  <c r="L8" i="1"/>
  <c r="J8" i="1"/>
  <c r="H7" i="1"/>
  <c r="F7" i="1"/>
  <c r="F8" i="1" s="1"/>
  <c r="D7" i="1"/>
  <c r="D8" i="1" s="1"/>
  <c r="H6" i="1"/>
  <c r="H40" i="4" s="1"/>
  <c r="J41" i="4" s="1"/>
  <c r="D6" i="1"/>
  <c r="D40" i="4" s="1"/>
  <c r="F41" i="4" s="1"/>
  <c r="E18" i="4" l="1"/>
  <c r="F6" i="3"/>
  <c r="F31" i="3" s="1"/>
  <c r="F59" i="2"/>
  <c r="F47" i="2"/>
  <c r="F82" i="3"/>
  <c r="K17" i="4"/>
  <c r="K16" i="4"/>
  <c r="H45" i="3"/>
  <c r="H52" i="3" s="1"/>
  <c r="H67" i="3" s="1"/>
  <c r="H82" i="3" s="1"/>
  <c r="S17" i="4"/>
  <c r="S16" i="4"/>
  <c r="L45" i="3"/>
  <c r="L52" i="3" s="1"/>
  <c r="L67" i="3" s="1"/>
  <c r="L82" i="3" s="1"/>
  <c r="I71" i="1"/>
  <c r="F32" i="4"/>
  <c r="H36" i="4"/>
  <c r="N17" i="4"/>
  <c r="N16" i="4"/>
  <c r="N27" i="4"/>
  <c r="N87" i="3"/>
  <c r="F45" i="3"/>
  <c r="F52" i="3" s="1"/>
  <c r="F67" i="3" s="1"/>
  <c r="O82" i="3"/>
  <c r="E32" i="4"/>
  <c r="G36" i="4"/>
  <c r="T59" i="2"/>
  <c r="T47" i="2"/>
  <c r="F71" i="1"/>
  <c r="M45" i="3"/>
  <c r="M52" i="3" s="1"/>
  <c r="M67" i="3" s="1"/>
  <c r="M82" i="3" s="1"/>
  <c r="Q71" i="1"/>
  <c r="G71" i="1"/>
  <c r="L71" i="1"/>
  <c r="T71" i="1"/>
  <c r="D59" i="2"/>
  <c r="D47" i="2"/>
  <c r="E45" i="3"/>
  <c r="E52" i="3" s="1"/>
  <c r="E67" i="3" s="1"/>
  <c r="E82" i="3" s="1"/>
  <c r="H20" i="1"/>
  <c r="H35" i="1" s="1"/>
  <c r="H71" i="1" s="1"/>
  <c r="N71" i="1"/>
  <c r="L27" i="4"/>
  <c r="L17" i="4"/>
  <c r="L16" i="4"/>
  <c r="N18" i="4"/>
  <c r="N37" i="4"/>
  <c r="S36" i="4"/>
  <c r="Q32" i="4"/>
  <c r="S33" i="4" s="1"/>
  <c r="S28" i="4" s="1"/>
  <c r="P17" i="4"/>
  <c r="P16" i="4"/>
  <c r="P27" i="4"/>
  <c r="T36" i="4"/>
  <c r="R32" i="4"/>
  <c r="T33" i="4" s="1"/>
  <c r="I15" i="4"/>
  <c r="I25" i="2"/>
  <c r="I45" i="2" s="1"/>
  <c r="G25" i="2"/>
  <c r="G45" i="2" s="1"/>
  <c r="Q59" i="2"/>
  <c r="E87" i="3"/>
  <c r="H41" i="4"/>
  <c r="K36" i="4"/>
  <c r="I32" i="4"/>
  <c r="K33" i="4" s="1"/>
  <c r="K28" i="4" s="1"/>
  <c r="O18" i="4"/>
  <c r="E36" i="4"/>
  <c r="C32" i="4"/>
  <c r="J15" i="4"/>
  <c r="J25" i="2"/>
  <c r="J45" i="2" s="1"/>
  <c r="H25" i="2"/>
  <c r="H45" i="2" s="1"/>
  <c r="S47" i="2"/>
  <c r="I41" i="4"/>
  <c r="R36" i="4"/>
  <c r="P32" i="4"/>
  <c r="R33" i="4" s="1"/>
  <c r="R28" i="4" s="1"/>
  <c r="H8" i="1"/>
  <c r="D20" i="1"/>
  <c r="D35" i="1" s="1"/>
  <c r="D71" i="1" s="1"/>
  <c r="N36" i="4"/>
  <c r="L36" i="4"/>
  <c r="L32" i="4"/>
  <c r="J67" i="1"/>
  <c r="J69" i="1" s="1"/>
  <c r="J71" i="1" s="1"/>
  <c r="R67" i="1"/>
  <c r="R69" i="1" s="1"/>
  <c r="R71" i="1" s="1"/>
  <c r="P18" i="4"/>
  <c r="P37" i="4"/>
  <c r="P35" i="4" s="1"/>
  <c r="P82" i="3"/>
  <c r="M36" i="4"/>
  <c r="J36" i="4"/>
  <c r="H32" i="4"/>
  <c r="O17" i="4"/>
  <c r="O16" i="4"/>
  <c r="J45" i="3"/>
  <c r="J52" i="3" s="1"/>
  <c r="J67" i="3" s="1"/>
  <c r="J82" i="3" s="1"/>
  <c r="O71" i="1"/>
  <c r="M32" i="4"/>
  <c r="O36" i="4"/>
  <c r="K67" i="1"/>
  <c r="K69" i="1" s="1"/>
  <c r="K71" i="1" s="1"/>
  <c r="S67" i="1"/>
  <c r="S69" i="1" s="1"/>
  <c r="S71" i="1" s="1"/>
  <c r="Q18" i="4"/>
  <c r="Q37" i="4"/>
  <c r="Q35" i="4" s="1"/>
  <c r="K47" i="2"/>
  <c r="Q82" i="3"/>
  <c r="Q86" i="3" s="1"/>
  <c r="N86" i="3"/>
  <c r="H69" i="1"/>
  <c r="M25" i="2"/>
  <c r="M45" i="2" s="1"/>
  <c r="L47" i="2"/>
  <c r="F36" i="4"/>
  <c r="D32" i="4"/>
  <c r="F33" i="4" s="1"/>
  <c r="F28" i="4" s="1"/>
  <c r="N32" i="4"/>
  <c r="P36" i="4"/>
  <c r="I36" i="4"/>
  <c r="G32" i="4"/>
  <c r="Q36" i="4"/>
  <c r="O32" i="4"/>
  <c r="R25" i="2"/>
  <c r="R45" i="2" s="1"/>
  <c r="I45" i="3"/>
  <c r="I52" i="3" s="1"/>
  <c r="I67" i="3" s="1"/>
  <c r="I82" i="3" s="1"/>
  <c r="R45" i="3"/>
  <c r="R52" i="3" s="1"/>
  <c r="R67" i="3" s="1"/>
  <c r="R82" i="3" s="1"/>
  <c r="C82" i="3"/>
  <c r="C87" i="3" s="1"/>
  <c r="K82" i="3"/>
  <c r="S82" i="3"/>
  <c r="S86" i="3" s="1"/>
  <c r="P86" i="3"/>
  <c r="T28" i="4"/>
  <c r="M41" i="4"/>
  <c r="E86" i="3"/>
  <c r="N41" i="4"/>
  <c r="T86" i="3"/>
  <c r="T87" i="3" s="1"/>
  <c r="H29" i="4"/>
  <c r="P29" i="4"/>
  <c r="K32" i="4"/>
  <c r="M33" i="4" s="1"/>
  <c r="M28" i="4" s="1"/>
  <c r="H86" i="3" l="1"/>
  <c r="H87" i="3"/>
  <c r="I86" i="3"/>
  <c r="I87" i="3" s="1"/>
  <c r="R86" i="3"/>
  <c r="R87" i="3" s="1"/>
  <c r="J86" i="3"/>
  <c r="J87" i="3" s="1"/>
  <c r="L39" i="4"/>
  <c r="P33" i="4"/>
  <c r="G6" i="3"/>
  <c r="G31" i="3" s="1"/>
  <c r="G45" i="3" s="1"/>
  <c r="G52" i="3" s="1"/>
  <c r="G67" i="3" s="1"/>
  <c r="G82" i="3" s="1"/>
  <c r="G47" i="2"/>
  <c r="G59" i="2"/>
  <c r="F86" i="3"/>
  <c r="F87" i="3" s="1"/>
  <c r="H47" i="2"/>
  <c r="H59" i="2"/>
  <c r="J59" i="2"/>
  <c r="J47" i="2"/>
  <c r="E33" i="4"/>
  <c r="E28" i="4" s="1"/>
  <c r="Q87" i="3"/>
  <c r="I47" i="2"/>
  <c r="I59" i="2"/>
  <c r="F18" i="4"/>
  <c r="F37" i="4"/>
  <c r="F35" i="4" s="1"/>
  <c r="K86" i="3"/>
  <c r="K87" i="3"/>
  <c r="N33" i="4"/>
  <c r="N28" i="4" s="1"/>
  <c r="L33" i="4"/>
  <c r="L28" i="4" s="1"/>
  <c r="L26" i="4" s="1"/>
  <c r="M86" i="3"/>
  <c r="M87" i="3" s="1"/>
  <c r="F27" i="4"/>
  <c r="F17" i="4"/>
  <c r="F16" i="4"/>
  <c r="Q17" i="4"/>
  <c r="Q16" i="4"/>
  <c r="Q27" i="4"/>
  <c r="R59" i="2"/>
  <c r="R47" i="2"/>
  <c r="S37" i="4" s="1"/>
  <c r="S35" i="4" s="1"/>
  <c r="J33" i="4"/>
  <c r="J28" i="4" s="1"/>
  <c r="P28" i="4"/>
  <c r="Q33" i="4"/>
  <c r="Q28" i="4" s="1"/>
  <c r="O33" i="4"/>
  <c r="O28" i="4" s="1"/>
  <c r="N35" i="4"/>
  <c r="G33" i="4"/>
  <c r="G28" i="4" s="1"/>
  <c r="H33" i="4"/>
  <c r="M59" i="2"/>
  <c r="M47" i="2"/>
  <c r="T37" i="4"/>
  <c r="T35" i="4" s="1"/>
  <c r="T18" i="4"/>
  <c r="T27" i="4"/>
  <c r="T17" i="4"/>
  <c r="T16" i="4"/>
  <c r="D37" i="4"/>
  <c r="D18" i="4"/>
  <c r="O86" i="3"/>
  <c r="O87" i="3"/>
  <c r="P26" i="4"/>
  <c r="P39" i="4"/>
  <c r="N39" i="4"/>
  <c r="N26" i="4"/>
  <c r="H28" i="4"/>
  <c r="I33" i="4"/>
  <c r="I28" i="4" s="1"/>
  <c r="L37" i="4"/>
  <c r="L35" i="4" s="1"/>
  <c r="L18" i="4"/>
  <c r="K18" i="4"/>
  <c r="P87" i="3"/>
  <c r="S18" i="4"/>
  <c r="S87" i="3"/>
  <c r="D27" i="4"/>
  <c r="D39" i="4" s="1"/>
  <c r="D17" i="4"/>
  <c r="D16" i="4"/>
  <c r="L86" i="3"/>
  <c r="L87" i="3" s="1"/>
  <c r="E37" i="4"/>
  <c r="E35" i="4" s="1"/>
  <c r="I17" i="4" l="1"/>
  <c r="I16" i="4"/>
  <c r="I27" i="4"/>
  <c r="Q26" i="4"/>
  <c r="Q39" i="4"/>
  <c r="G18" i="4"/>
  <c r="G37" i="4"/>
  <c r="G35" i="4" s="1"/>
  <c r="T39" i="4"/>
  <c r="T26" i="4"/>
  <c r="J37" i="4"/>
  <c r="J35" i="4" s="1"/>
  <c r="J18" i="4"/>
  <c r="G86" i="3"/>
  <c r="G87" i="3" s="1"/>
  <c r="J17" i="4"/>
  <c r="J16" i="4"/>
  <c r="J27" i="4"/>
  <c r="K27" i="4"/>
  <c r="R37" i="4"/>
  <c r="R35" i="4" s="1"/>
  <c r="R18" i="4"/>
  <c r="R17" i="4"/>
  <c r="R16" i="4"/>
  <c r="R27" i="4"/>
  <c r="S27" i="4"/>
  <c r="I18" i="4"/>
  <c r="I37" i="4"/>
  <c r="I35" i="4" s="1"/>
  <c r="K37" i="4"/>
  <c r="K35" i="4" s="1"/>
  <c r="H17" i="4"/>
  <c r="H16" i="4"/>
  <c r="H27" i="4"/>
  <c r="M17" i="4"/>
  <c r="M16" i="4"/>
  <c r="M27" i="4"/>
  <c r="O27" i="4"/>
  <c r="G17" i="4"/>
  <c r="G16" i="4"/>
  <c r="M37" i="4"/>
  <c r="M35" i="4" s="1"/>
  <c r="M18" i="4"/>
  <c r="O37" i="4"/>
  <c r="O35" i="4" s="1"/>
  <c r="F26" i="4"/>
  <c r="F39" i="4"/>
  <c r="H18" i="4"/>
  <c r="H37" i="4"/>
  <c r="H35" i="4" s="1"/>
  <c r="J26" i="4" l="1"/>
  <c r="J39" i="4"/>
  <c r="H26" i="4"/>
  <c r="H39" i="4"/>
  <c r="S26" i="4"/>
  <c r="S39" i="4"/>
  <c r="I26" i="4"/>
  <c r="I39" i="4"/>
  <c r="M39" i="4"/>
  <c r="M26" i="4"/>
  <c r="R26" i="4"/>
  <c r="R39" i="4"/>
  <c r="O26" i="4"/>
  <c r="O39" i="4"/>
  <c r="K26" i="4"/>
  <c r="K39" i="4"/>
</calcChain>
</file>

<file path=xl/sharedStrings.xml><?xml version="1.0" encoding="utf-8"?>
<sst xmlns="http://schemas.openxmlformats.org/spreadsheetml/2006/main" count="312" uniqueCount="223">
  <si>
    <t>1H 2016</t>
  </si>
  <si>
    <t>1H 2017</t>
  </si>
  <si>
    <t>1H 2018</t>
  </si>
  <si>
    <t>1H 2019</t>
  </si>
  <si>
    <t>1H 2020</t>
  </si>
  <si>
    <t>1H 2021</t>
  </si>
  <si>
    <t>1H 2022</t>
  </si>
  <si>
    <t>1H 2023</t>
  </si>
  <si>
    <t>1H 2024</t>
  </si>
  <si>
    <t>Consolidated Balance Sheet</t>
  </si>
  <si>
    <t>In 000 RUB</t>
  </si>
  <si>
    <t>PPE</t>
  </si>
  <si>
    <t>Gross PPE</t>
  </si>
  <si>
    <t>Acc Depr</t>
  </si>
  <si>
    <t>Non-current biological assets</t>
  </si>
  <si>
    <t>Right to Use Assets</t>
  </si>
  <si>
    <t>Goodwill</t>
  </si>
  <si>
    <t>Restricted Cash</t>
  </si>
  <si>
    <t xml:space="preserve">Receivables for Subsidiary </t>
  </si>
  <si>
    <t>Investment in Associates</t>
  </si>
  <si>
    <t>LTI</t>
  </si>
  <si>
    <t>Intangibles</t>
  </si>
  <si>
    <t>Advances given on PPE purposes</t>
  </si>
  <si>
    <t>DTA</t>
  </si>
  <si>
    <t>Other NCA</t>
  </si>
  <si>
    <t>Non-current assets</t>
  </si>
  <si>
    <t>Inventories</t>
  </si>
  <si>
    <t>Biological assets</t>
  </si>
  <si>
    <t xml:space="preserve">  Cost excl. revaluation effect</t>
  </si>
  <si>
    <t xml:space="preserve">  Revaluation effect</t>
  </si>
  <si>
    <t>Trade Receivables</t>
  </si>
  <si>
    <t>VAT</t>
  </si>
  <si>
    <t>Advances to Supplier</t>
  </si>
  <si>
    <t>STI</t>
  </si>
  <si>
    <t>PrePaid Income Tax</t>
  </si>
  <si>
    <t>Cash Equivalent</t>
  </si>
  <si>
    <t>Assets Held for Sale</t>
  </si>
  <si>
    <t>Current assets</t>
  </si>
  <si>
    <t>Total Assets</t>
  </si>
  <si>
    <t>Share Capital</t>
  </si>
  <si>
    <t>Share premium</t>
  </si>
  <si>
    <t>Paid-in capital</t>
  </si>
  <si>
    <t>Retained Earnings/accumulated deficit</t>
  </si>
  <si>
    <t>Translation reserve</t>
  </si>
  <si>
    <t>Reserves for share-based payments</t>
  </si>
  <si>
    <t>Treasury shares</t>
  </si>
  <si>
    <t>Reorganization effect</t>
  </si>
  <si>
    <t>Total Equity</t>
  </si>
  <si>
    <t>LTD</t>
  </si>
  <si>
    <t>LT Lease</t>
  </si>
  <si>
    <t>DTL</t>
  </si>
  <si>
    <t>Other obligations</t>
  </si>
  <si>
    <t>Deferred income</t>
  </si>
  <si>
    <t>Long-term liabilities</t>
  </si>
  <si>
    <t>STD</t>
  </si>
  <si>
    <t>ST Lease</t>
  </si>
  <si>
    <t>Trade Payable</t>
  </si>
  <si>
    <t xml:space="preserve">Payable for Subsidiary </t>
  </si>
  <si>
    <t>Other Payable</t>
  </si>
  <si>
    <t>Dividends payable</t>
  </si>
  <si>
    <t>Advances from customers</t>
  </si>
  <si>
    <t>VAT Payable and other payables</t>
  </si>
  <si>
    <t>Estimated liabilities and provisions</t>
  </si>
  <si>
    <t>Liabilities related to Assets Held for Sale</t>
  </si>
  <si>
    <t>Current liabilities</t>
  </si>
  <si>
    <t>Total liabilities</t>
  </si>
  <si>
    <t>Total Equity and liabilities</t>
  </si>
  <si>
    <t>Diff</t>
  </si>
  <si>
    <t>P&amp;L</t>
  </si>
  <si>
    <t>Revenue</t>
  </si>
  <si>
    <t xml:space="preserve">  Salmon</t>
  </si>
  <si>
    <t xml:space="preserve">  Trout</t>
  </si>
  <si>
    <t xml:space="preserve">  Caviar</t>
  </si>
  <si>
    <t xml:space="preserve">  Other</t>
  </si>
  <si>
    <t>Cost of Sales</t>
  </si>
  <si>
    <t xml:space="preserve">  Biological assets revaluation in cost of sales [1]</t>
  </si>
  <si>
    <t xml:space="preserve">  Raw Material</t>
  </si>
  <si>
    <t xml:space="preserve">  O/Heads</t>
  </si>
  <si>
    <t xml:space="preserve">  Payroll</t>
  </si>
  <si>
    <t xml:space="preserve">  D&amp;A</t>
  </si>
  <si>
    <t>Gross Profit</t>
  </si>
  <si>
    <t>Revaluation profit (+)/gain (-) on finished products</t>
  </si>
  <si>
    <t>Profit on revaluation of bio assets</t>
  </si>
  <si>
    <t>Gross Profit Inc Valuation</t>
  </si>
  <si>
    <t>Selling Expense (-)/income (+) [2]</t>
  </si>
  <si>
    <t>Admin Expense</t>
  </si>
  <si>
    <t>Profit from participation</t>
  </si>
  <si>
    <t>Profit on revaluation of Investment in Associates</t>
  </si>
  <si>
    <t>Reserve for expected credit losses</t>
  </si>
  <si>
    <t>Impairment allownce on advances given</t>
  </si>
  <si>
    <t>Other Operating Income</t>
  </si>
  <si>
    <t xml:space="preserve">  stock recount bio assets</t>
  </si>
  <si>
    <t>insurance reimbursment</t>
  </si>
  <si>
    <t xml:space="preserve">  others</t>
  </si>
  <si>
    <t>Other Operating Expense</t>
  </si>
  <si>
    <t xml:space="preserve">  losses on bio assets and stock counts losses</t>
  </si>
  <si>
    <t xml:space="preserve">  biological assets revaluation in other operating expense</t>
  </si>
  <si>
    <t xml:space="preserve"> Others</t>
  </si>
  <si>
    <t>Interest Income</t>
  </si>
  <si>
    <t>Interest Expense</t>
  </si>
  <si>
    <t>FX loss (-)/gain (+)</t>
  </si>
  <si>
    <t>Pre-Tax Profit</t>
  </si>
  <si>
    <t>Taxes</t>
  </si>
  <si>
    <t>Net Profit (continued operations)</t>
  </si>
  <si>
    <t>Net interest expense</t>
  </si>
  <si>
    <t>D&amp;A</t>
  </si>
  <si>
    <t>Net revaluation effect</t>
  </si>
  <si>
    <t>Option-based premiums</t>
  </si>
  <si>
    <t>Revaluation profit (+)/loss (-) on agricultural products</t>
  </si>
  <si>
    <t>Impairment</t>
  </si>
  <si>
    <t>Profit on revaluation of investments in associates</t>
  </si>
  <si>
    <t>Insurance compensation</t>
  </si>
  <si>
    <t>Costs on refloating of ship</t>
  </si>
  <si>
    <t>Adjusted EBITDA</t>
  </si>
  <si>
    <t>[1] starting 2019, biological assets revaluation in cost of sales is shown as a net in profit on revaluation of bio assets</t>
  </si>
  <si>
    <t>[2] strating 2019, this line also includes labor costs, previously shown in admin expense</t>
  </si>
  <si>
    <t>Adjusted EBITDA for 2016 is calculated excluding results from discontinued operations</t>
  </si>
  <si>
    <t>Cashflow Statement</t>
  </si>
  <si>
    <t>Pre tax Profit</t>
  </si>
  <si>
    <t>Adjustments</t>
  </si>
  <si>
    <t xml:space="preserve">  Depr &amp; Amort</t>
  </si>
  <si>
    <t xml:space="preserve">  Int inc</t>
  </si>
  <si>
    <t xml:space="preserve">  Int exp</t>
  </si>
  <si>
    <t xml:space="preserve">  Subsidies</t>
  </si>
  <si>
    <t xml:space="preserve">  FX</t>
  </si>
  <si>
    <t xml:space="preserve">  Loss on disposal of PPE</t>
  </si>
  <si>
    <t xml:space="preserve">  Provision for impairment of ship</t>
  </si>
  <si>
    <t xml:space="preserve">  Profit from Participation</t>
  </si>
  <si>
    <t xml:space="preserve">  Livestock bioassets count/write-off bioassets</t>
  </si>
  <si>
    <t xml:space="preserve">  Inventory count/write-off inventory</t>
  </si>
  <si>
    <t xml:space="preserve">  Accounts receivable write-off/change in impairment allownce on accounts receivable</t>
  </si>
  <si>
    <t xml:space="preserve">  Change in impairment allownce on advances given</t>
  </si>
  <si>
    <t xml:space="preserve">  Share based pmt</t>
  </si>
  <si>
    <t xml:space="preserve">  Profit from sales of subsidiary</t>
  </si>
  <si>
    <t xml:space="preserve">  Revaluation of finished goods</t>
  </si>
  <si>
    <t xml:space="preserve">  Biological assets revaluation in cost of sales</t>
  </si>
  <si>
    <t xml:space="preserve">  Profit from Reval of Bio assets</t>
  </si>
  <si>
    <t xml:space="preserve">  Profit from Reval of Investment in Associates</t>
  </si>
  <si>
    <t xml:space="preserve">  Reserves for write-off of finished products</t>
  </si>
  <si>
    <t xml:space="preserve">  Costs on refloating of ship</t>
  </si>
  <si>
    <t xml:space="preserve">  Restoring reserves</t>
  </si>
  <si>
    <t xml:space="preserve">  Loss on disposal of intangible assets</t>
  </si>
  <si>
    <t xml:space="preserve">  Other non cash adjustements</t>
  </si>
  <si>
    <t>OCF before Working Capital Changes</t>
  </si>
  <si>
    <t xml:space="preserve"> </t>
  </si>
  <si>
    <t>WC Changes</t>
  </si>
  <si>
    <t xml:space="preserve">  Inc in inventory*</t>
  </si>
  <si>
    <t xml:space="preserve">  Inc. in bio assets</t>
  </si>
  <si>
    <t xml:space="preserve"> Inc in trade receivable</t>
  </si>
  <si>
    <t xml:space="preserve"> Inc. in VAT recoverable</t>
  </si>
  <si>
    <t xml:space="preserve"> Inc in advances to supplier</t>
  </si>
  <si>
    <t xml:space="preserve"> Inc. in accounts payable</t>
  </si>
  <si>
    <t xml:space="preserve"> Inc. in Other payables</t>
  </si>
  <si>
    <t xml:space="preserve"> Inc. in advances received from customers</t>
  </si>
  <si>
    <t xml:space="preserve"> Inc in Other taxes payable</t>
  </si>
  <si>
    <t>Operating Cashflow</t>
  </si>
  <si>
    <t>Income tax paid</t>
  </si>
  <si>
    <t>int. received</t>
  </si>
  <si>
    <t>subsidies received</t>
  </si>
  <si>
    <t>interest paid</t>
  </si>
  <si>
    <t>Others</t>
  </si>
  <si>
    <t>Net Operating Cashflow</t>
  </si>
  <si>
    <t>Purchase of PPE</t>
  </si>
  <si>
    <t>Disposal of PPE</t>
  </si>
  <si>
    <t>Purchase of Intangibles</t>
  </si>
  <si>
    <t>Income from (+)/Payment for (-) Subsidiaries and associates</t>
  </si>
  <si>
    <t>Dividends received</t>
  </si>
  <si>
    <t>Loans issued</t>
  </si>
  <si>
    <t>Loans repaid</t>
  </si>
  <si>
    <t>Income from bill of credit</t>
  </si>
  <si>
    <t>Acquisition of shares in a joint venture</t>
  </si>
  <si>
    <t>Net Investment Cashflow</t>
  </si>
  <si>
    <t>FCF</t>
  </si>
  <si>
    <t>Purchase of treasury stock</t>
  </si>
  <si>
    <t>Proceed from sale of new issue (net of costs)</t>
  </si>
  <si>
    <t>Proceed from sale of treasury</t>
  </si>
  <si>
    <t>Payment to shareholders</t>
  </si>
  <si>
    <t>Dividends</t>
  </si>
  <si>
    <t>Return og guarantee deposit</t>
  </si>
  <si>
    <t>Restriction of cash for deposits</t>
  </si>
  <si>
    <t>repayment of lease</t>
  </si>
  <si>
    <t>Cash inflows from borrowing</t>
  </si>
  <si>
    <t>Repayment of borrowing</t>
  </si>
  <si>
    <t>Net Financial Cashflows</t>
  </si>
  <si>
    <t>Net Change in Cash</t>
  </si>
  <si>
    <t>Fx</t>
  </si>
  <si>
    <t>Effect of discontinued operations</t>
  </si>
  <si>
    <t>Cash equivalent BoY</t>
  </si>
  <si>
    <t>Cash equivalent EoY</t>
  </si>
  <si>
    <t>*Untill 2018 includes change in biological assets</t>
  </si>
  <si>
    <t>Operating metrics</t>
  </si>
  <si>
    <t>Sales Volume, tonnes</t>
  </si>
  <si>
    <t>Biomass, End of Period, tonnes</t>
  </si>
  <si>
    <t>Average price, kg</t>
  </si>
  <si>
    <t>Additional Information</t>
  </si>
  <si>
    <t>Net Debt</t>
  </si>
  <si>
    <t>Debt</t>
  </si>
  <si>
    <t>Margin coefficients:</t>
  </si>
  <si>
    <t>GP margin</t>
  </si>
  <si>
    <t>Adjusted EBIT margin</t>
  </si>
  <si>
    <t>nd</t>
  </si>
  <si>
    <t>Adjusted EBITDA margin</t>
  </si>
  <si>
    <t>Net profit margin</t>
  </si>
  <si>
    <t>Turnover coefficients:</t>
  </si>
  <si>
    <t>AR turnover ratio</t>
  </si>
  <si>
    <t>na</t>
  </si>
  <si>
    <t>AP turnover ratio</t>
  </si>
  <si>
    <t>Inventory&amp;Biological assets turnover ratio</t>
  </si>
  <si>
    <t>Assets&amp;Capital efficiency coefficients:</t>
  </si>
  <si>
    <t>ROCE</t>
  </si>
  <si>
    <t>Adjusted EBIT LTM</t>
  </si>
  <si>
    <t>Average Capital Employed</t>
  </si>
  <si>
    <t>Average Net debt</t>
  </si>
  <si>
    <t>FV adjustment in Balance sheet</t>
  </si>
  <si>
    <t>Equity less FV adj</t>
  </si>
  <si>
    <t>Average Equity excl FV adj</t>
  </si>
  <si>
    <t>ROE</t>
  </si>
  <si>
    <t>Average Equity</t>
  </si>
  <si>
    <t>Net profit LTM</t>
  </si>
  <si>
    <t>ROIC</t>
  </si>
  <si>
    <t>Invested capital*</t>
  </si>
  <si>
    <t>Average invested capital</t>
  </si>
  <si>
    <t>* - incl. PPE, Advances given on PPE purposes, Right to Use Assets, Inventories, Biological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</si>
</sst>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2060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theme="0" tint="-0.499984740745262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0" tint="-0.499984740745262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0" tint="-0.499984740745262"/>
      <name val="Arial"/>
      <family val="2"/>
      <charset val="204"/>
    </font>
    <font>
      <u/>
      <sz val="9"/>
      <color theme="1"/>
      <name val="Arial"/>
      <family val="2"/>
      <charset val="204"/>
    </font>
    <font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7" fontId="3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3" fontId="6" fillId="0" borderId="4" xfId="0" applyNumberFormat="1" applyFont="1" applyBorder="1"/>
    <xf numFmtId="3" fontId="5" fillId="0" borderId="5" xfId="0" applyNumberFormat="1" applyFont="1" applyBorder="1"/>
    <xf numFmtId="3" fontId="5" fillId="0" borderId="0" xfId="0" applyNumberFormat="1" applyFont="1"/>
    <xf numFmtId="0" fontId="7" fillId="2" borderId="0" xfId="0" applyFont="1" applyFill="1"/>
    <xf numFmtId="3" fontId="6" fillId="2" borderId="4" xfId="0" applyNumberFormat="1" applyFont="1" applyFill="1" applyBorder="1"/>
    <xf numFmtId="3" fontId="5" fillId="2" borderId="5" xfId="0" applyNumberFormat="1" applyFont="1" applyFill="1" applyBorder="1"/>
    <xf numFmtId="3" fontId="5" fillId="2" borderId="0" xfId="0" applyNumberFormat="1" applyFont="1" applyFill="1"/>
    <xf numFmtId="3" fontId="6" fillId="0" borderId="4" xfId="1" applyNumberFormat="1" applyFont="1" applyFill="1" applyBorder="1"/>
    <xf numFmtId="3" fontId="5" fillId="0" borderId="5" xfId="1" applyNumberFormat="1" applyFont="1" applyFill="1" applyBorder="1"/>
    <xf numFmtId="3" fontId="5" fillId="0" borderId="0" xfId="1" applyNumberFormat="1" applyFont="1" applyFill="1"/>
    <xf numFmtId="0" fontId="5" fillId="0" borderId="0" xfId="0" applyFont="1" applyAlignment="1">
      <alignment horizontal="left" indent="2"/>
    </xf>
    <xf numFmtId="0" fontId="8" fillId="0" borderId="1" xfId="0" applyFont="1" applyBorder="1"/>
    <xf numFmtId="3" fontId="9" fillId="0" borderId="2" xfId="1" applyNumberFormat="1" applyFont="1" applyFill="1" applyBorder="1"/>
    <xf numFmtId="3" fontId="8" fillId="0" borderId="3" xfId="1" applyNumberFormat="1" applyFont="1" applyFill="1" applyBorder="1"/>
    <xf numFmtId="0" fontId="8" fillId="0" borderId="0" xfId="0" applyFont="1"/>
    <xf numFmtId="3" fontId="6" fillId="0" borderId="4" xfId="1" applyNumberFormat="1" applyFont="1" applyBorder="1"/>
    <xf numFmtId="3" fontId="5" fillId="0" borderId="5" xfId="1" applyNumberFormat="1" applyFont="1" applyBorder="1"/>
    <xf numFmtId="3" fontId="5" fillId="0" borderId="0" xfId="1" applyNumberFormat="1" applyFont="1"/>
    <xf numFmtId="3" fontId="8" fillId="0" borderId="1" xfId="1" applyNumberFormat="1" applyFont="1" applyFill="1" applyBorder="1"/>
    <xf numFmtId="0" fontId="8" fillId="3" borderId="6" xfId="0" applyFont="1" applyFill="1" applyBorder="1"/>
    <xf numFmtId="3" fontId="9" fillId="3" borderId="7" xfId="1" applyNumberFormat="1" applyFont="1" applyFill="1" applyBorder="1"/>
    <xf numFmtId="3" fontId="8" fillId="3" borderId="8" xfId="1" applyNumberFormat="1" applyFont="1" applyFill="1" applyBorder="1"/>
    <xf numFmtId="3" fontId="8" fillId="3" borderId="6" xfId="1" applyNumberFormat="1" applyFont="1" applyFill="1" applyBorder="1"/>
    <xf numFmtId="3" fontId="9" fillId="0" borderId="4" xfId="1" applyNumberFormat="1" applyFont="1" applyFill="1" applyBorder="1"/>
    <xf numFmtId="3" fontId="8" fillId="0" borderId="5" xfId="1" applyNumberFormat="1" applyFont="1" applyFill="1" applyBorder="1"/>
    <xf numFmtId="3" fontId="8" fillId="0" borderId="0" xfId="1" applyNumberFormat="1" applyFont="1" applyFill="1"/>
    <xf numFmtId="0" fontId="6" fillId="0" borderId="0" xfId="0" applyFont="1"/>
    <xf numFmtId="3" fontId="5" fillId="0" borderId="5" xfId="2" applyNumberFormat="1" applyFont="1" applyFill="1" applyBorder="1"/>
    <xf numFmtId="3" fontId="5" fillId="0" borderId="0" xfId="2" applyNumberFormat="1" applyFont="1" applyFill="1"/>
    <xf numFmtId="0" fontId="5" fillId="0" borderId="0" xfId="0" applyFont="1" applyAlignment="1">
      <alignment horizontal="left"/>
    </xf>
    <xf numFmtId="0" fontId="10" fillId="0" borderId="0" xfId="0" applyFont="1"/>
    <xf numFmtId="3" fontId="11" fillId="0" borderId="4" xfId="1" applyNumberFormat="1" applyFont="1" applyFill="1" applyBorder="1"/>
    <xf numFmtId="3" fontId="10" fillId="0" borderId="5" xfId="1" applyNumberFormat="1" applyFont="1" applyFill="1" applyBorder="1"/>
    <xf numFmtId="3" fontId="10" fillId="0" borderId="0" xfId="1" applyNumberFormat="1" applyFont="1" applyFill="1"/>
    <xf numFmtId="0" fontId="10" fillId="0" borderId="0" xfId="0" applyFont="1" applyAlignment="1">
      <alignment horizontal="left" indent="1"/>
    </xf>
    <xf numFmtId="0" fontId="8" fillId="3" borderId="0" xfId="0" applyFont="1" applyFill="1"/>
    <xf numFmtId="3" fontId="9" fillId="3" borderId="4" xfId="1" applyNumberFormat="1" applyFont="1" applyFill="1" applyBorder="1"/>
    <xf numFmtId="3" fontId="8" fillId="3" borderId="5" xfId="1" applyNumberFormat="1" applyFont="1" applyFill="1" applyBorder="1"/>
    <xf numFmtId="3" fontId="8" fillId="3" borderId="0" xfId="1" applyNumberFormat="1" applyFont="1" applyFill="1"/>
    <xf numFmtId="3" fontId="6" fillId="0" borderId="0" xfId="0" applyNumberFormat="1" applyFont="1"/>
    <xf numFmtId="3" fontId="8" fillId="4" borderId="8" xfId="1" applyNumberFormat="1" applyFont="1" applyFill="1" applyBorder="1"/>
    <xf numFmtId="3" fontId="9" fillId="4" borderId="7" xfId="1" applyNumberFormat="1" applyFont="1" applyFill="1" applyBorder="1"/>
    <xf numFmtId="0" fontId="5" fillId="3" borderId="0" xfId="0" applyFont="1" applyFill="1"/>
    <xf numFmtId="3" fontId="6" fillId="3" borderId="4" xfId="1" applyNumberFormat="1" applyFont="1" applyFill="1" applyBorder="1"/>
    <xf numFmtId="3" fontId="5" fillId="3" borderId="5" xfId="1" applyNumberFormat="1" applyFont="1" applyFill="1" applyBorder="1"/>
    <xf numFmtId="3" fontId="5" fillId="3" borderId="0" xfId="1" applyNumberFormat="1" applyFont="1" applyFill="1"/>
    <xf numFmtId="3" fontId="5" fillId="0" borderId="0" xfId="1" applyNumberFormat="1" applyFont="1" applyFill="1" applyBorder="1"/>
    <xf numFmtId="3" fontId="8" fillId="0" borderId="0" xfId="1" applyNumberFormat="1" applyFont="1" applyFill="1" applyBorder="1"/>
    <xf numFmtId="3" fontId="9" fillId="0" borderId="0" xfId="1" applyNumberFormat="1" applyFont="1" applyFill="1" applyBorder="1"/>
    <xf numFmtId="0" fontId="8" fillId="3" borderId="1" xfId="0" applyFont="1" applyFill="1" applyBorder="1"/>
    <xf numFmtId="3" fontId="9" fillId="3" borderId="2" xfId="1" applyNumberFormat="1" applyFont="1" applyFill="1" applyBorder="1"/>
    <xf numFmtId="3" fontId="8" fillId="3" borderId="3" xfId="1" applyNumberFormat="1" applyFont="1" applyFill="1" applyBorder="1"/>
    <xf numFmtId="3" fontId="8" fillId="3" borderId="1" xfId="1" applyNumberFormat="1" applyFont="1" applyFill="1" applyBorder="1"/>
    <xf numFmtId="0" fontId="5" fillId="0" borderId="1" xfId="0" applyFont="1" applyBorder="1"/>
    <xf numFmtId="3" fontId="6" fillId="0" borderId="2" xfId="1" applyNumberFormat="1" applyFont="1" applyFill="1" applyBorder="1"/>
    <xf numFmtId="3" fontId="5" fillId="0" borderId="3" xfId="1" applyNumberFormat="1" applyFont="1" applyFill="1" applyBorder="1"/>
    <xf numFmtId="3" fontId="5" fillId="0" borderId="1" xfId="1" applyNumberFormat="1" applyFont="1" applyFill="1" applyBorder="1"/>
    <xf numFmtId="3" fontId="6" fillId="0" borderId="9" xfId="0" applyNumberFormat="1" applyFont="1" applyBorder="1"/>
    <xf numFmtId="3" fontId="0" fillId="0" borderId="0" xfId="0" applyNumberFormat="1"/>
    <xf numFmtId="3" fontId="5" fillId="0" borderId="2" xfId="0" applyNumberFormat="1" applyFont="1" applyBorder="1"/>
    <xf numFmtId="3" fontId="5" fillId="0" borderId="1" xfId="0" applyNumberFormat="1" applyFont="1" applyBorder="1"/>
    <xf numFmtId="3" fontId="6" fillId="2" borderId="0" xfId="0" applyNumberFormat="1" applyFont="1" applyFill="1"/>
    <xf numFmtId="0" fontId="12" fillId="0" borderId="0" xfId="0" applyFont="1" applyAlignment="1">
      <alignment horizontal="left" indent="2"/>
    </xf>
    <xf numFmtId="164" fontId="13" fillId="0" borderId="0" xfId="1" applyNumberFormat="1" applyFont="1" applyBorder="1"/>
    <xf numFmtId="164" fontId="12" fillId="0" borderId="0" xfId="1" applyNumberFormat="1" applyFont="1" applyBorder="1"/>
    <xf numFmtId="164" fontId="13" fillId="0" borderId="4" xfId="1" applyNumberFormat="1" applyFont="1" applyBorder="1"/>
    <xf numFmtId="164" fontId="12" fillId="0" borderId="0" xfId="1" applyNumberFormat="1" applyFont="1" applyFill="1" applyBorder="1"/>
    <xf numFmtId="0" fontId="14" fillId="0" borderId="0" xfId="0" applyFont="1"/>
    <xf numFmtId="9" fontId="6" fillId="0" borderId="4" xfId="2" applyFont="1" applyBorder="1"/>
    <xf numFmtId="9" fontId="5" fillId="0" borderId="0" xfId="2" applyFont="1"/>
    <xf numFmtId="9" fontId="5" fillId="0" borderId="0" xfId="2" applyFont="1" applyBorder="1"/>
    <xf numFmtId="9" fontId="6" fillId="0" borderId="4" xfId="2" applyFont="1" applyBorder="1" applyAlignment="1">
      <alignment horizontal="right"/>
    </xf>
    <xf numFmtId="9" fontId="5" fillId="0" borderId="0" xfId="2" applyFont="1" applyFill="1" applyBorder="1"/>
    <xf numFmtId="9" fontId="9" fillId="0" borderId="4" xfId="2" applyFont="1" applyBorder="1" applyAlignment="1">
      <alignment horizontal="right"/>
    </xf>
    <xf numFmtId="9" fontId="8" fillId="0" borderId="5" xfId="2" applyFont="1" applyBorder="1"/>
    <xf numFmtId="9" fontId="8" fillId="0" borderId="0" xfId="2" applyFont="1"/>
    <xf numFmtId="9" fontId="9" fillId="0" borderId="4" xfId="2" applyFont="1" applyBorder="1"/>
    <xf numFmtId="9" fontId="8" fillId="0" borderId="0" xfId="2" applyFont="1" applyBorder="1"/>
    <xf numFmtId="9" fontId="8" fillId="0" borderId="0" xfId="2" applyFont="1" applyFill="1" applyBorder="1"/>
    <xf numFmtId="0" fontId="8" fillId="0" borderId="10" xfId="0" applyFont="1" applyBorder="1"/>
    <xf numFmtId="9" fontId="9" fillId="0" borderId="11" xfId="2" applyFont="1" applyBorder="1"/>
    <xf numFmtId="9" fontId="8" fillId="0" borderId="12" xfId="2" applyFont="1" applyBorder="1"/>
    <xf numFmtId="9" fontId="8" fillId="0" borderId="10" xfId="2" applyFont="1" applyBorder="1"/>
    <xf numFmtId="0" fontId="6" fillId="0" borderId="4" xfId="0" applyFont="1" applyBorder="1"/>
    <xf numFmtId="164" fontId="5" fillId="0" borderId="5" xfId="1" applyNumberFormat="1" applyFont="1" applyBorder="1"/>
    <xf numFmtId="9" fontId="6" fillId="0" borderId="5" xfId="2" applyFont="1" applyBorder="1" applyAlignment="1">
      <alignment horizontal="right"/>
    </xf>
    <xf numFmtId="164" fontId="5" fillId="0" borderId="0" xfId="1" applyNumberFormat="1" applyFont="1"/>
    <xf numFmtId="164" fontId="5" fillId="0" borderId="0" xfId="1" applyNumberFormat="1" applyFont="1" applyBorder="1"/>
    <xf numFmtId="3" fontId="6" fillId="0" borderId="4" xfId="2" applyNumberFormat="1" applyFont="1" applyBorder="1" applyAlignment="1">
      <alignment horizontal="right"/>
    </xf>
    <xf numFmtId="3" fontId="5" fillId="0" borderId="0" xfId="1" applyNumberFormat="1" applyFont="1" applyBorder="1"/>
    <xf numFmtId="0" fontId="5" fillId="0" borderId="10" xfId="0" applyFont="1" applyBorder="1"/>
    <xf numFmtId="9" fontId="6" fillId="0" borderId="11" xfId="2" applyFont="1" applyBorder="1" applyAlignment="1">
      <alignment horizontal="right"/>
    </xf>
    <xf numFmtId="9" fontId="6" fillId="0" borderId="12" xfId="2" applyFont="1" applyBorder="1" applyAlignment="1">
      <alignment horizontal="right"/>
    </xf>
    <xf numFmtId="165" fontId="5" fillId="0" borderId="10" xfId="1" applyNumberFormat="1" applyFont="1" applyBorder="1"/>
    <xf numFmtId="9" fontId="9" fillId="0" borderId="0" xfId="2" applyFont="1" applyBorder="1" applyAlignment="1">
      <alignment horizontal="right"/>
    </xf>
    <xf numFmtId="0" fontId="12" fillId="0" borderId="0" xfId="0" applyFont="1" applyAlignment="1">
      <alignment horizontal="left" indent="1"/>
    </xf>
    <xf numFmtId="9" fontId="6" fillId="0" borderId="0" xfId="2" applyFont="1" applyBorder="1" applyAlignment="1">
      <alignment horizontal="right"/>
    </xf>
    <xf numFmtId="0" fontId="12" fillId="0" borderId="10" xfId="0" applyFont="1" applyBorder="1" applyAlignment="1">
      <alignment horizontal="left" indent="1"/>
    </xf>
    <xf numFmtId="9" fontId="6" fillId="0" borderId="10" xfId="2" applyFont="1" applyBorder="1" applyAlignment="1">
      <alignment horizontal="right"/>
    </xf>
    <xf numFmtId="164" fontId="13" fillId="0" borderId="11" xfId="1" applyNumberFormat="1" applyFont="1" applyBorder="1"/>
    <xf numFmtId="164" fontId="12" fillId="0" borderId="10" xfId="1" applyNumberFormat="1" applyFont="1" applyBorder="1"/>
    <xf numFmtId="164" fontId="12" fillId="0" borderId="10" xfId="1" applyNumberFormat="1" applyFont="1" applyFill="1" applyBorder="1"/>
    <xf numFmtId="164" fontId="12" fillId="0" borderId="0" xfId="1" applyNumberFormat="1" applyFont="1"/>
    <xf numFmtId="164" fontId="13" fillId="0" borderId="0" xfId="1" applyNumberFormat="1" applyFont="1"/>
    <xf numFmtId="0" fontId="12" fillId="0" borderId="10" xfId="0" applyFont="1" applyBorder="1" applyAlignment="1">
      <alignment horizontal="left" indent="2"/>
    </xf>
    <xf numFmtId="3" fontId="6" fillId="0" borderId="5" xfId="1" applyNumberFormat="1" applyFont="1" applyBorder="1"/>
    <xf numFmtId="0" fontId="15" fillId="0" borderId="0" xfId="0" applyFont="1"/>
    <xf numFmtId="166" fontId="0" fillId="0" borderId="0" xfId="2" applyNumberFormat="1" applyFon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6"/>
  <sheetViews>
    <sheetView showGridLines="0" zoomScale="80" zoomScaleNormal="80" workbookViewId="0">
      <pane xSplit="2" ySplit="1" topLeftCell="C20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9.1796875" defaultRowHeight="11.5" outlineLevelCol="1" x14ac:dyDescent="0.25"/>
  <cols>
    <col min="1" max="1" width="2.26953125" style="5" customWidth="1"/>
    <col min="2" max="2" width="39.7265625" style="5" customWidth="1"/>
    <col min="3" max="3" width="11" style="32" hidden="1" customWidth="1" outlineLevel="1"/>
    <col min="4" max="4" width="11" style="5" customWidth="1" collapsed="1"/>
    <col min="5" max="5" width="11" style="32" hidden="1" customWidth="1" outlineLevel="1"/>
    <col min="6" max="6" width="11" style="5" customWidth="1" collapsed="1"/>
    <col min="7" max="7" width="11" style="32" hidden="1" customWidth="1" outlineLevel="1"/>
    <col min="8" max="8" width="11" style="5" customWidth="1" collapsed="1"/>
    <col min="9" max="9" width="11" style="32" hidden="1" customWidth="1" outlineLevel="1"/>
    <col min="10" max="10" width="11" style="5" customWidth="1" collapsed="1"/>
    <col min="11" max="11" width="11" style="32" hidden="1" customWidth="1" outlineLevel="1"/>
    <col min="12" max="12" width="11" style="5" customWidth="1" collapsed="1"/>
    <col min="13" max="13" width="11" style="32" hidden="1" customWidth="1" outlineLevel="1"/>
    <col min="14" max="14" width="11" style="5" customWidth="1" collapsed="1"/>
    <col min="15" max="15" width="11" style="32" hidden="1" customWidth="1" outlineLevel="1"/>
    <col min="16" max="16" width="11" style="5" customWidth="1" collapsed="1"/>
    <col min="17" max="17" width="11" style="32" hidden="1" customWidth="1" outlineLevel="1"/>
    <col min="18" max="18" width="11" style="5" customWidth="1" collapsed="1"/>
    <col min="19" max="19" width="11" style="32" hidden="1" customWidth="1" outlineLevel="1"/>
    <col min="20" max="20" width="11" style="5" customWidth="1" collapsed="1"/>
    <col min="21" max="16384" width="9.1796875" style="5"/>
  </cols>
  <sheetData>
    <row r="1" spans="2:20" s="4" customFormat="1" ht="21" customHeight="1" x14ac:dyDescent="0.35">
      <c r="B1" s="1"/>
      <c r="C1" s="2" t="s">
        <v>0</v>
      </c>
      <c r="D1" s="3">
        <v>2016</v>
      </c>
      <c r="E1" s="2" t="s">
        <v>1</v>
      </c>
      <c r="F1" s="1">
        <v>2017</v>
      </c>
      <c r="G1" s="2" t="s">
        <v>2</v>
      </c>
      <c r="H1" s="1">
        <v>2018</v>
      </c>
      <c r="I1" s="2" t="s">
        <v>3</v>
      </c>
      <c r="J1" s="3">
        <v>2019</v>
      </c>
      <c r="K1" s="2" t="s">
        <v>4</v>
      </c>
      <c r="L1" s="3">
        <v>2020</v>
      </c>
      <c r="M1" s="2" t="s">
        <v>5</v>
      </c>
      <c r="N1" s="3">
        <v>2021</v>
      </c>
      <c r="O1" s="2" t="s">
        <v>6</v>
      </c>
      <c r="P1" s="3">
        <v>2022</v>
      </c>
      <c r="Q1" s="2" t="s">
        <v>7</v>
      </c>
      <c r="R1" s="3">
        <v>2023</v>
      </c>
      <c r="S1" s="2" t="s">
        <v>8</v>
      </c>
      <c r="T1" s="3">
        <v>2024</v>
      </c>
    </row>
    <row r="2" spans="2:20" x14ac:dyDescent="0.25">
      <c r="C2" s="6"/>
      <c r="D2" s="7"/>
      <c r="E2" s="6"/>
      <c r="F2" s="8"/>
      <c r="G2" s="6"/>
      <c r="H2" s="8"/>
      <c r="I2" s="6"/>
      <c r="J2" s="7"/>
      <c r="K2" s="6"/>
      <c r="L2" s="7"/>
      <c r="M2" s="6"/>
      <c r="N2" s="7"/>
      <c r="O2" s="6"/>
      <c r="P2" s="7"/>
      <c r="Q2" s="6"/>
      <c r="R2" s="7"/>
      <c r="S2" s="6"/>
      <c r="T2" s="7"/>
    </row>
    <row r="3" spans="2:20" ht="18" x14ac:dyDescent="0.4">
      <c r="B3" s="9" t="s">
        <v>9</v>
      </c>
      <c r="C3" s="10"/>
      <c r="D3" s="11"/>
      <c r="E3" s="10"/>
      <c r="F3" s="12"/>
      <c r="G3" s="10"/>
      <c r="H3" s="12"/>
      <c r="I3" s="10"/>
      <c r="J3" s="11"/>
      <c r="K3" s="10"/>
      <c r="L3" s="11"/>
      <c r="M3" s="10"/>
      <c r="N3" s="11"/>
      <c r="O3" s="10"/>
      <c r="P3" s="11"/>
      <c r="Q3" s="10"/>
      <c r="R3" s="11"/>
      <c r="S3" s="10"/>
      <c r="T3" s="11"/>
    </row>
    <row r="4" spans="2:20" x14ac:dyDescent="0.25">
      <c r="B4" s="5" t="s">
        <v>10</v>
      </c>
      <c r="C4" s="6"/>
      <c r="D4" s="7"/>
      <c r="E4" s="6"/>
      <c r="F4" s="8"/>
      <c r="G4" s="6"/>
      <c r="H4" s="8"/>
      <c r="I4" s="6"/>
      <c r="J4" s="7"/>
      <c r="K4" s="6"/>
      <c r="L4" s="7"/>
      <c r="M4" s="6"/>
      <c r="N4" s="7"/>
      <c r="O4" s="6"/>
      <c r="P4" s="7"/>
      <c r="Q4" s="6"/>
      <c r="R4" s="7"/>
      <c r="S4" s="6"/>
      <c r="T4" s="7"/>
    </row>
    <row r="5" spans="2:20" x14ac:dyDescent="0.25">
      <c r="C5" s="6"/>
      <c r="D5" s="7"/>
      <c r="E5" s="6"/>
      <c r="F5" s="8"/>
      <c r="G5" s="6"/>
      <c r="H5" s="8"/>
      <c r="I5" s="6"/>
      <c r="J5" s="7"/>
      <c r="K5" s="6"/>
      <c r="L5" s="7"/>
      <c r="M5" s="6"/>
      <c r="N5" s="7"/>
      <c r="O5" s="6"/>
      <c r="P5" s="7"/>
      <c r="Q5" s="6"/>
      <c r="R5" s="7"/>
      <c r="S5" s="6"/>
      <c r="T5" s="7"/>
    </row>
    <row r="6" spans="2:20" x14ac:dyDescent="0.25">
      <c r="B6" s="5" t="s">
        <v>11</v>
      </c>
      <c r="C6" s="13">
        <v>1704314</v>
      </c>
      <c r="D6" s="14">
        <f>1722708</f>
        <v>1722708</v>
      </c>
      <c r="E6" s="13">
        <v>1804162</v>
      </c>
      <c r="F6" s="15">
        <v>2018083</v>
      </c>
      <c r="G6" s="13">
        <v>2457432</v>
      </c>
      <c r="H6" s="15">
        <f>3064930</f>
        <v>3064930</v>
      </c>
      <c r="I6" s="13">
        <v>4133753</v>
      </c>
      <c r="J6" s="14">
        <v>4783866</v>
      </c>
      <c r="K6" s="13">
        <v>5954621</v>
      </c>
      <c r="L6" s="14">
        <v>6379612</v>
      </c>
      <c r="M6" s="13">
        <v>7779006</v>
      </c>
      <c r="N6" s="14">
        <v>8771811</v>
      </c>
      <c r="O6" s="13">
        <v>9430451</v>
      </c>
      <c r="P6" s="14">
        <v>9638606</v>
      </c>
      <c r="Q6" s="13">
        <v>10336979</v>
      </c>
      <c r="R6" s="14">
        <v>11683324</v>
      </c>
      <c r="S6" s="13">
        <v>14344711</v>
      </c>
      <c r="T6" s="14">
        <v>17413759</v>
      </c>
    </row>
    <row r="7" spans="2:20" x14ac:dyDescent="0.25">
      <c r="B7" s="16" t="s">
        <v>12</v>
      </c>
      <c r="C7" s="13"/>
      <c r="D7" s="14">
        <f>2211011</f>
        <v>2211011</v>
      </c>
      <c r="E7" s="13"/>
      <c r="F7" s="15">
        <f>2742071</f>
        <v>2742071</v>
      </c>
      <c r="G7" s="13"/>
      <c r="H7" s="15">
        <f>4123205</f>
        <v>4123205</v>
      </c>
      <c r="I7" s="13"/>
      <c r="J7" s="14">
        <v>6249349</v>
      </c>
      <c r="K7" s="13"/>
      <c r="L7" s="14">
        <v>8600130</v>
      </c>
      <c r="M7" s="13"/>
      <c r="N7" s="14">
        <v>11869602</v>
      </c>
      <c r="O7" s="13"/>
      <c r="P7" s="14">
        <v>13663896</v>
      </c>
      <c r="Q7" s="13"/>
      <c r="R7" s="14">
        <v>17118325</v>
      </c>
      <c r="S7" s="13"/>
      <c r="T7" s="14">
        <v>23679998</v>
      </c>
    </row>
    <row r="8" spans="2:20" x14ac:dyDescent="0.25">
      <c r="B8" s="16" t="s">
        <v>13</v>
      </c>
      <c r="C8" s="13"/>
      <c r="D8" s="14">
        <f>+D7-D6</f>
        <v>488303</v>
      </c>
      <c r="E8" s="13"/>
      <c r="F8" s="15">
        <f>+F7-F6</f>
        <v>723988</v>
      </c>
      <c r="G8" s="13"/>
      <c r="H8" s="15">
        <f>+H7-H6</f>
        <v>1058275</v>
      </c>
      <c r="I8" s="13"/>
      <c r="J8" s="14">
        <f>+J7-J6</f>
        <v>1465483</v>
      </c>
      <c r="K8" s="13"/>
      <c r="L8" s="14">
        <f>+L7-L6</f>
        <v>2220518</v>
      </c>
      <c r="M8" s="13"/>
      <c r="N8" s="14">
        <f>+N7-N6</f>
        <v>3097791</v>
      </c>
      <c r="O8" s="13"/>
      <c r="P8" s="14">
        <f>+P7-P6</f>
        <v>4025290</v>
      </c>
      <c r="Q8" s="13"/>
      <c r="R8" s="14">
        <f>+R7-R6</f>
        <v>5435001</v>
      </c>
      <c r="S8" s="13"/>
      <c r="T8" s="14">
        <f>+T7-T6</f>
        <v>6266239</v>
      </c>
    </row>
    <row r="9" spans="2:20" x14ac:dyDescent="0.25">
      <c r="B9" s="5" t="s">
        <v>14</v>
      </c>
      <c r="C9" s="13">
        <v>0</v>
      </c>
      <c r="D9" s="14">
        <v>0</v>
      </c>
      <c r="E9" s="13">
        <v>0</v>
      </c>
      <c r="F9" s="15">
        <v>0</v>
      </c>
      <c r="G9" s="13">
        <v>0</v>
      </c>
      <c r="H9" s="15">
        <v>0</v>
      </c>
      <c r="I9" s="13">
        <v>0</v>
      </c>
      <c r="J9" s="14">
        <v>0</v>
      </c>
      <c r="K9" s="13">
        <v>0</v>
      </c>
      <c r="L9" s="14">
        <v>0</v>
      </c>
      <c r="M9" s="13">
        <v>0</v>
      </c>
      <c r="N9" s="14">
        <v>0</v>
      </c>
      <c r="O9" s="13">
        <v>0</v>
      </c>
      <c r="P9" s="14">
        <v>0</v>
      </c>
      <c r="Q9" s="13">
        <v>0</v>
      </c>
      <c r="R9" s="14">
        <v>0</v>
      </c>
      <c r="S9" s="13">
        <v>0</v>
      </c>
      <c r="T9" s="14">
        <v>45336</v>
      </c>
    </row>
    <row r="10" spans="2:20" x14ac:dyDescent="0.25">
      <c r="B10" s="5" t="s">
        <v>15</v>
      </c>
      <c r="C10" s="13">
        <v>0</v>
      </c>
      <c r="D10" s="14">
        <v>0</v>
      </c>
      <c r="E10" s="13">
        <v>0</v>
      </c>
      <c r="F10" s="15">
        <v>0</v>
      </c>
      <c r="G10" s="13">
        <v>0</v>
      </c>
      <c r="H10" s="15">
        <v>0</v>
      </c>
      <c r="I10" s="13">
        <v>63403</v>
      </c>
      <c r="J10" s="14">
        <v>122256</v>
      </c>
      <c r="K10" s="13">
        <v>143508</v>
      </c>
      <c r="L10" s="14">
        <v>160020</v>
      </c>
      <c r="M10" s="13">
        <v>197522</v>
      </c>
      <c r="N10" s="14">
        <v>192813</v>
      </c>
      <c r="O10" s="13">
        <v>288163</v>
      </c>
      <c r="P10" s="14">
        <v>367918</v>
      </c>
      <c r="Q10" s="13">
        <v>334986</v>
      </c>
      <c r="R10" s="14">
        <v>303577</v>
      </c>
      <c r="S10" s="13">
        <v>273130</v>
      </c>
      <c r="T10" s="14">
        <v>324890</v>
      </c>
    </row>
    <row r="11" spans="2:20" x14ac:dyDescent="0.25">
      <c r="B11" s="5" t="s">
        <v>16</v>
      </c>
      <c r="C11" s="13">
        <v>0</v>
      </c>
      <c r="D11" s="14">
        <v>0</v>
      </c>
      <c r="E11" s="13">
        <v>0</v>
      </c>
      <c r="F11" s="15">
        <v>32633</v>
      </c>
      <c r="G11" s="13">
        <v>0</v>
      </c>
      <c r="H11" s="15">
        <v>32633</v>
      </c>
      <c r="I11" s="13">
        <v>32633</v>
      </c>
      <c r="J11" s="14">
        <v>32633</v>
      </c>
      <c r="K11" s="13">
        <v>32633</v>
      </c>
      <c r="L11" s="14">
        <v>474616</v>
      </c>
      <c r="M11" s="13">
        <v>474616</v>
      </c>
      <c r="N11" s="14">
        <v>519509</v>
      </c>
      <c r="O11" s="13">
        <v>519509</v>
      </c>
      <c r="P11" s="14">
        <v>698763</v>
      </c>
      <c r="Q11" s="13">
        <v>653499</v>
      </c>
      <c r="R11" s="14">
        <v>735883</v>
      </c>
      <c r="S11" s="13">
        <v>735883</v>
      </c>
      <c r="T11" s="14">
        <v>735883</v>
      </c>
    </row>
    <row r="12" spans="2:20" x14ac:dyDescent="0.25">
      <c r="B12" s="5" t="s">
        <v>17</v>
      </c>
      <c r="C12" s="13">
        <v>0</v>
      </c>
      <c r="D12" s="14">
        <v>0</v>
      </c>
      <c r="E12" s="13">
        <v>0</v>
      </c>
      <c r="F12" s="15">
        <v>0</v>
      </c>
      <c r="G12" s="13">
        <v>0</v>
      </c>
      <c r="H12" s="15">
        <v>450000</v>
      </c>
      <c r="I12" s="13">
        <v>0</v>
      </c>
      <c r="J12" s="14">
        <v>26437</v>
      </c>
      <c r="K12" s="13">
        <v>27304</v>
      </c>
      <c r="L12" s="14">
        <v>32644</v>
      </c>
      <c r="M12" s="13">
        <v>32050</v>
      </c>
      <c r="N12" s="14">
        <v>32037</v>
      </c>
      <c r="O12" s="13">
        <v>19893</v>
      </c>
      <c r="P12" s="14">
        <v>0</v>
      </c>
      <c r="Q12" s="13">
        <v>0</v>
      </c>
      <c r="R12" s="14">
        <v>0</v>
      </c>
      <c r="S12" s="13">
        <v>0</v>
      </c>
      <c r="T12" s="14">
        <v>0</v>
      </c>
    </row>
    <row r="13" spans="2:20" x14ac:dyDescent="0.25">
      <c r="B13" s="5" t="s">
        <v>18</v>
      </c>
      <c r="C13" s="13">
        <v>0</v>
      </c>
      <c r="D13" s="14">
        <v>0</v>
      </c>
      <c r="E13" s="13">
        <v>0</v>
      </c>
      <c r="F13" s="15">
        <v>0</v>
      </c>
      <c r="G13" s="13">
        <v>0</v>
      </c>
      <c r="H13" s="15">
        <v>0</v>
      </c>
      <c r="I13" s="13">
        <v>0</v>
      </c>
      <c r="J13" s="14">
        <v>0</v>
      </c>
      <c r="K13" s="13">
        <v>0</v>
      </c>
      <c r="L13" s="14">
        <v>0</v>
      </c>
      <c r="M13" s="13">
        <v>0</v>
      </c>
      <c r="N13" s="14">
        <v>0</v>
      </c>
      <c r="O13" s="13">
        <v>0</v>
      </c>
      <c r="P13" s="14">
        <v>559045</v>
      </c>
      <c r="Q13" s="13">
        <v>650115</v>
      </c>
      <c r="R13" s="14">
        <v>699378</v>
      </c>
      <c r="S13" s="13">
        <v>643721</v>
      </c>
      <c r="T13" s="14">
        <v>726582</v>
      </c>
    </row>
    <row r="14" spans="2:20" x14ac:dyDescent="0.25">
      <c r="B14" s="5" t="s">
        <v>19</v>
      </c>
      <c r="C14" s="13">
        <v>0</v>
      </c>
      <c r="D14" s="14">
        <v>0</v>
      </c>
      <c r="E14" s="13">
        <v>0</v>
      </c>
      <c r="F14" s="15">
        <v>0</v>
      </c>
      <c r="G14" s="13">
        <v>0</v>
      </c>
      <c r="H14" s="15">
        <v>124649</v>
      </c>
      <c r="I14" s="13">
        <v>143546</v>
      </c>
      <c r="J14" s="14">
        <v>158157</v>
      </c>
      <c r="K14" s="13">
        <v>159205</v>
      </c>
      <c r="L14" s="14">
        <v>0</v>
      </c>
      <c r="M14" s="13">
        <v>0</v>
      </c>
      <c r="N14" s="14">
        <v>0</v>
      </c>
      <c r="O14" s="13">
        <v>0</v>
      </c>
      <c r="P14" s="14">
        <v>0</v>
      </c>
      <c r="Q14" s="13">
        <v>4000</v>
      </c>
      <c r="R14" s="14">
        <v>4000</v>
      </c>
      <c r="S14" s="13">
        <v>4000</v>
      </c>
      <c r="T14" s="14">
        <v>248569</v>
      </c>
    </row>
    <row r="15" spans="2:20" x14ac:dyDescent="0.25">
      <c r="B15" s="5" t="s">
        <v>20</v>
      </c>
      <c r="C15" s="13">
        <v>0</v>
      </c>
      <c r="D15" s="14">
        <v>0</v>
      </c>
      <c r="E15" s="13">
        <v>0</v>
      </c>
      <c r="F15" s="15">
        <v>0</v>
      </c>
      <c r="G15" s="13">
        <v>400000</v>
      </c>
      <c r="H15" s="15">
        <v>0</v>
      </c>
      <c r="I15" s="13">
        <v>0</v>
      </c>
      <c r="J15" s="14">
        <v>20080</v>
      </c>
      <c r="K15" s="13">
        <v>19980</v>
      </c>
      <c r="L15" s="14">
        <v>22097</v>
      </c>
      <c r="M15" s="13">
        <v>9532</v>
      </c>
      <c r="N15" s="14">
        <v>0</v>
      </c>
      <c r="O15" s="13">
        <v>0</v>
      </c>
      <c r="P15" s="14">
        <v>0</v>
      </c>
      <c r="Q15" s="13">
        <v>0</v>
      </c>
      <c r="R15" s="14">
        <v>0</v>
      </c>
      <c r="S15" s="13"/>
      <c r="T15" s="14">
        <v>0</v>
      </c>
    </row>
    <row r="16" spans="2:20" x14ac:dyDescent="0.25">
      <c r="B16" s="5" t="s">
        <v>21</v>
      </c>
      <c r="C16" s="13">
        <v>1783</v>
      </c>
      <c r="D16" s="14">
        <v>1553</v>
      </c>
      <c r="E16" s="13">
        <v>11085</v>
      </c>
      <c r="F16" s="15">
        <v>13458</v>
      </c>
      <c r="G16" s="13">
        <v>15016</v>
      </c>
      <c r="H16" s="15">
        <v>16422</v>
      </c>
      <c r="I16" s="13">
        <v>14875</v>
      </c>
      <c r="J16" s="14">
        <v>16412</v>
      </c>
      <c r="K16" s="13">
        <v>17328</v>
      </c>
      <c r="L16" s="14">
        <v>18668</v>
      </c>
      <c r="M16" s="13">
        <v>18719</v>
      </c>
      <c r="N16" s="14">
        <v>19805</v>
      </c>
      <c r="O16" s="13">
        <v>14851</v>
      </c>
      <c r="P16" s="14">
        <v>4219</v>
      </c>
      <c r="Q16" s="13">
        <v>18254</v>
      </c>
      <c r="R16" s="14">
        <v>44500</v>
      </c>
      <c r="S16" s="13">
        <v>40715</v>
      </c>
      <c r="T16" s="14">
        <v>55169</v>
      </c>
    </row>
    <row r="17" spans="2:20" x14ac:dyDescent="0.25">
      <c r="B17" s="5" t="s">
        <v>22</v>
      </c>
      <c r="C17" s="13">
        <v>24280</v>
      </c>
      <c r="D17" s="14">
        <v>0</v>
      </c>
      <c r="E17" s="13">
        <v>0</v>
      </c>
      <c r="F17" s="15">
        <v>192757</v>
      </c>
      <c r="G17" s="13">
        <v>197365</v>
      </c>
      <c r="H17" s="15">
        <v>119230</v>
      </c>
      <c r="I17" s="13">
        <v>278291</v>
      </c>
      <c r="J17" s="14">
        <v>377822</v>
      </c>
      <c r="K17" s="13">
        <v>163528</v>
      </c>
      <c r="L17" s="14">
        <v>203646</v>
      </c>
      <c r="M17" s="13">
        <v>281963</v>
      </c>
      <c r="N17" s="14">
        <v>303143</v>
      </c>
      <c r="O17" s="13">
        <v>354303</v>
      </c>
      <c r="P17" s="14">
        <v>825089</v>
      </c>
      <c r="Q17" s="13">
        <v>1967570</v>
      </c>
      <c r="R17" s="14">
        <v>2437249</v>
      </c>
      <c r="S17" s="13">
        <v>2759784</v>
      </c>
      <c r="T17" s="14">
        <v>1735400</v>
      </c>
    </row>
    <row r="18" spans="2:20" x14ac:dyDescent="0.25">
      <c r="B18" s="5" t="s">
        <v>23</v>
      </c>
      <c r="C18" s="13">
        <v>44439</v>
      </c>
      <c r="D18" s="14">
        <v>11329</v>
      </c>
      <c r="E18" s="13">
        <v>5938</v>
      </c>
      <c r="F18" s="15">
        <v>13972</v>
      </c>
      <c r="G18" s="13">
        <v>8791</v>
      </c>
      <c r="H18" s="15">
        <v>8828</v>
      </c>
      <c r="I18" s="13">
        <v>4490</v>
      </c>
      <c r="J18" s="14">
        <v>8362</v>
      </c>
      <c r="K18" s="13">
        <v>4897</v>
      </c>
      <c r="L18" s="14">
        <v>11367</v>
      </c>
      <c r="M18" s="13">
        <v>6464</v>
      </c>
      <c r="N18" s="14">
        <v>8716</v>
      </c>
      <c r="O18" s="13">
        <v>13493</v>
      </c>
      <c r="P18" s="14">
        <v>26900</v>
      </c>
      <c r="Q18" s="13">
        <v>60967</v>
      </c>
      <c r="R18" s="14">
        <v>51606</v>
      </c>
      <c r="S18" s="13">
        <v>64918</v>
      </c>
      <c r="T18" s="14">
        <v>126685</v>
      </c>
    </row>
    <row r="19" spans="2:20" x14ac:dyDescent="0.25">
      <c r="B19" s="5" t="s">
        <v>24</v>
      </c>
      <c r="C19" s="13">
        <v>0</v>
      </c>
      <c r="D19" s="14">
        <v>0</v>
      </c>
      <c r="E19" s="13">
        <v>0</v>
      </c>
      <c r="F19" s="15">
        <v>0</v>
      </c>
      <c r="G19" s="13">
        <v>0</v>
      </c>
      <c r="H19" s="15">
        <v>0</v>
      </c>
      <c r="I19" s="13">
        <v>0</v>
      </c>
      <c r="J19" s="14">
        <v>29786</v>
      </c>
      <c r="K19" s="13">
        <v>23003</v>
      </c>
      <c r="L19" s="14">
        <v>19833</v>
      </c>
      <c r="M19" s="13">
        <v>21350</v>
      </c>
      <c r="N19" s="14">
        <v>20871</v>
      </c>
      <c r="O19" s="13">
        <v>20772</v>
      </c>
      <c r="P19" s="14">
        <v>14476</v>
      </c>
      <c r="Q19" s="13">
        <v>13543</v>
      </c>
      <c r="R19" s="14">
        <v>75564</v>
      </c>
      <c r="S19" s="13">
        <v>2616</v>
      </c>
      <c r="T19" s="14">
        <v>81272</v>
      </c>
    </row>
    <row r="20" spans="2:20" s="20" customFormat="1" x14ac:dyDescent="0.25">
      <c r="B20" s="17" t="s">
        <v>25</v>
      </c>
      <c r="C20" s="18">
        <f t="shared" ref="C20:S20" si="0">+C6+C10+C11+C12+C14+C15+C16+C17+C18+C19+C13+C9</f>
        <v>1774816</v>
      </c>
      <c r="D20" s="19">
        <f t="shared" si="0"/>
        <v>1735590</v>
      </c>
      <c r="E20" s="18">
        <f t="shared" si="0"/>
        <v>1821185</v>
      </c>
      <c r="F20" s="19">
        <f t="shared" si="0"/>
        <v>2270903</v>
      </c>
      <c r="G20" s="18">
        <f t="shared" si="0"/>
        <v>3078604</v>
      </c>
      <c r="H20" s="19">
        <f t="shared" si="0"/>
        <v>3816692</v>
      </c>
      <c r="I20" s="18">
        <f t="shared" si="0"/>
        <v>4670991</v>
      </c>
      <c r="J20" s="19">
        <f t="shared" si="0"/>
        <v>5575811</v>
      </c>
      <c r="K20" s="18">
        <f t="shared" si="0"/>
        <v>6546007</v>
      </c>
      <c r="L20" s="19">
        <f t="shared" si="0"/>
        <v>7322503</v>
      </c>
      <c r="M20" s="18">
        <f t="shared" si="0"/>
        <v>8821222</v>
      </c>
      <c r="N20" s="19">
        <f t="shared" si="0"/>
        <v>9868705</v>
      </c>
      <c r="O20" s="18">
        <f t="shared" si="0"/>
        <v>10661435</v>
      </c>
      <c r="P20" s="19">
        <f t="shared" si="0"/>
        <v>12135016</v>
      </c>
      <c r="Q20" s="18">
        <f t="shared" si="0"/>
        <v>14039913</v>
      </c>
      <c r="R20" s="19">
        <f t="shared" si="0"/>
        <v>16035081</v>
      </c>
      <c r="S20" s="18">
        <f t="shared" si="0"/>
        <v>18869478</v>
      </c>
      <c r="T20" s="19">
        <f>+T6+T10+T11+T12+T14+T15+T16+T17+T18+T19+T13+T9</f>
        <v>21493545</v>
      </c>
    </row>
    <row r="21" spans="2:20" x14ac:dyDescent="0.25">
      <c r="C21" s="21"/>
      <c r="D21" s="22"/>
      <c r="E21" s="21"/>
      <c r="F21" s="23"/>
      <c r="G21" s="21"/>
      <c r="H21" s="23"/>
      <c r="I21" s="21"/>
      <c r="J21" s="22"/>
      <c r="K21" s="21"/>
      <c r="L21" s="22"/>
      <c r="M21" s="21"/>
      <c r="N21" s="22"/>
      <c r="O21" s="21"/>
      <c r="P21" s="22"/>
      <c r="Q21" s="21"/>
      <c r="R21" s="22"/>
      <c r="S21" s="21"/>
      <c r="T21" s="22"/>
    </row>
    <row r="22" spans="2:20" x14ac:dyDescent="0.25">
      <c r="B22" s="5" t="s">
        <v>26</v>
      </c>
      <c r="C22" s="13">
        <v>160395</v>
      </c>
      <c r="D22" s="14">
        <v>143781</v>
      </c>
      <c r="E22" s="13">
        <v>250920</v>
      </c>
      <c r="F22" s="15">
        <v>185230</v>
      </c>
      <c r="G22" s="13">
        <v>324592</v>
      </c>
      <c r="H22" s="15">
        <v>377797</v>
      </c>
      <c r="I22" s="13">
        <v>719290</v>
      </c>
      <c r="J22" s="14">
        <v>620943</v>
      </c>
      <c r="K22" s="13">
        <v>1094718</v>
      </c>
      <c r="L22" s="14">
        <v>930142</v>
      </c>
      <c r="M22" s="13">
        <v>1290136</v>
      </c>
      <c r="N22" s="14">
        <v>1657072</v>
      </c>
      <c r="O22" s="13">
        <v>3084871</v>
      </c>
      <c r="P22" s="14">
        <v>3366104</v>
      </c>
      <c r="Q22" s="13">
        <v>6579791</v>
      </c>
      <c r="R22" s="14">
        <v>5369883</v>
      </c>
      <c r="S22" s="13">
        <v>5476965</v>
      </c>
      <c r="T22" s="14">
        <v>3474244</v>
      </c>
    </row>
    <row r="23" spans="2:20" x14ac:dyDescent="0.25">
      <c r="B23" s="5" t="s">
        <v>27</v>
      </c>
      <c r="C23" s="13">
        <v>1488119</v>
      </c>
      <c r="D23" s="14">
        <v>3353805</v>
      </c>
      <c r="E23" s="13">
        <v>1326381</v>
      </c>
      <c r="F23" s="15">
        <v>1702552</v>
      </c>
      <c r="G23" s="13">
        <v>3088991</v>
      </c>
      <c r="H23" s="15">
        <v>6050823</v>
      </c>
      <c r="I23" s="13">
        <v>4658086</v>
      </c>
      <c r="J23" s="14">
        <v>6840305</v>
      </c>
      <c r="K23" s="13">
        <v>3995686</v>
      </c>
      <c r="L23" s="14">
        <v>9967703</v>
      </c>
      <c r="M23" s="13">
        <v>9841236</v>
      </c>
      <c r="N23" s="14">
        <v>14720405</v>
      </c>
      <c r="O23" s="13">
        <v>15660354</v>
      </c>
      <c r="P23" s="14">
        <v>20324008</v>
      </c>
      <c r="Q23" s="13">
        <v>22591255</v>
      </c>
      <c r="R23" s="14">
        <v>28598620</v>
      </c>
      <c r="S23" s="13">
        <v>15964881</v>
      </c>
      <c r="T23" s="14">
        <v>26560589</v>
      </c>
    </row>
    <row r="24" spans="2:20" x14ac:dyDescent="0.25">
      <c r="B24" s="5" t="s">
        <v>28</v>
      </c>
      <c r="C24" s="6">
        <f>C23-C25</f>
        <v>1033044</v>
      </c>
      <c r="D24" s="14">
        <f>D23-D25</f>
        <v>1824641</v>
      </c>
      <c r="E24" s="6">
        <f>E23-E25</f>
        <v>1245018</v>
      </c>
      <c r="F24" s="15">
        <f>F23-F25</f>
        <v>1513445</v>
      </c>
      <c r="G24" s="6">
        <f>G23-G25</f>
        <v>2685773</v>
      </c>
      <c r="H24" s="15">
        <f>3638312+397212</f>
        <v>4035524</v>
      </c>
      <c r="I24" s="6">
        <f t="shared" ref="I24:T24" si="1">I23-I25</f>
        <v>3709487</v>
      </c>
      <c r="J24" s="15">
        <f t="shared" si="1"/>
        <v>4158195</v>
      </c>
      <c r="K24" s="6">
        <f t="shared" si="1"/>
        <v>3626088</v>
      </c>
      <c r="L24" s="15">
        <f t="shared" si="1"/>
        <v>6817378</v>
      </c>
      <c r="M24" s="6">
        <f t="shared" si="1"/>
        <v>6409444</v>
      </c>
      <c r="N24" s="15">
        <f t="shared" si="1"/>
        <v>8400533</v>
      </c>
      <c r="O24" s="6">
        <f t="shared" si="1"/>
        <v>7885507</v>
      </c>
      <c r="P24" s="15">
        <f t="shared" si="1"/>
        <v>12242950</v>
      </c>
      <c r="Q24" s="6">
        <f t="shared" si="1"/>
        <v>11386730</v>
      </c>
      <c r="R24" s="14">
        <f t="shared" si="1"/>
        <v>14271698</v>
      </c>
      <c r="S24" s="6">
        <f t="shared" si="1"/>
        <v>9615459</v>
      </c>
      <c r="T24" s="14">
        <f t="shared" si="1"/>
        <v>14740114</v>
      </c>
    </row>
    <row r="25" spans="2:20" x14ac:dyDescent="0.25">
      <c r="B25" s="5" t="s">
        <v>29</v>
      </c>
      <c r="C25" s="13">
        <v>455075</v>
      </c>
      <c r="D25" s="14">
        <f>1472017+57147</f>
        <v>1529164</v>
      </c>
      <c r="E25" s="13">
        <v>81363</v>
      </c>
      <c r="F25" s="15">
        <f>75534+113573</f>
        <v>189107</v>
      </c>
      <c r="G25" s="13">
        <v>403218</v>
      </c>
      <c r="H25" s="15">
        <f>1929305+85994</f>
        <v>2015299</v>
      </c>
      <c r="I25" s="13">
        <v>948599</v>
      </c>
      <c r="J25" s="14">
        <f>2620295+61815</f>
        <v>2682110</v>
      </c>
      <c r="K25" s="13">
        <f>369598</f>
        <v>369598</v>
      </c>
      <c r="L25" s="14">
        <f>2968422+181903</f>
        <v>3150325</v>
      </c>
      <c r="M25" s="13">
        <f>3431792</f>
        <v>3431792</v>
      </c>
      <c r="N25" s="14">
        <f>6069871+250001</f>
        <v>6319872</v>
      </c>
      <c r="O25" s="13">
        <v>7774847</v>
      </c>
      <c r="P25" s="14">
        <v>8081058</v>
      </c>
      <c r="Q25" s="13">
        <v>11204525</v>
      </c>
      <c r="R25" s="14">
        <v>14326922</v>
      </c>
      <c r="S25" s="13">
        <v>6349422</v>
      </c>
      <c r="T25" s="14">
        <v>11820475</v>
      </c>
    </row>
    <row r="26" spans="2:20" x14ac:dyDescent="0.25">
      <c r="B26" s="5" t="s">
        <v>30</v>
      </c>
      <c r="C26" s="13">
        <v>109990</v>
      </c>
      <c r="D26" s="14">
        <v>314496</v>
      </c>
      <c r="E26" s="13">
        <v>187869</v>
      </c>
      <c r="F26" s="15">
        <v>25299</v>
      </c>
      <c r="G26" s="13">
        <v>71789</v>
      </c>
      <c r="H26" s="15">
        <v>345282</v>
      </c>
      <c r="I26" s="13">
        <v>117885</v>
      </c>
      <c r="J26" s="14">
        <v>632101</v>
      </c>
      <c r="K26" s="13">
        <v>170660</v>
      </c>
      <c r="L26" s="14">
        <v>560108</v>
      </c>
      <c r="M26" s="13">
        <v>620425</v>
      </c>
      <c r="N26" s="14">
        <v>1625037</v>
      </c>
      <c r="O26" s="13">
        <v>1495450</v>
      </c>
      <c r="P26" s="14">
        <v>2578345</v>
      </c>
      <c r="Q26" s="13">
        <v>1776746</v>
      </c>
      <c r="R26" s="14">
        <v>2680046</v>
      </c>
      <c r="S26" s="13">
        <v>1534514</v>
      </c>
      <c r="T26" s="14">
        <v>2232554</v>
      </c>
    </row>
    <row r="27" spans="2:20" x14ac:dyDescent="0.25">
      <c r="B27" s="5" t="s">
        <v>31</v>
      </c>
      <c r="C27" s="13">
        <v>65567</v>
      </c>
      <c r="D27" s="14">
        <v>5107</v>
      </c>
      <c r="E27" s="13">
        <v>14852</v>
      </c>
      <c r="F27" s="15">
        <v>7346</v>
      </c>
      <c r="G27" s="13">
        <v>267494</v>
      </c>
      <c r="H27" s="15">
        <v>22796</v>
      </c>
      <c r="I27" s="13">
        <v>51513</v>
      </c>
      <c r="J27" s="14">
        <v>37839</v>
      </c>
      <c r="K27" s="13">
        <v>186811</v>
      </c>
      <c r="L27" s="14">
        <v>27988</v>
      </c>
      <c r="M27" s="13">
        <v>307172</v>
      </c>
      <c r="N27" s="14">
        <v>49680</v>
      </c>
      <c r="O27" s="13">
        <v>63736</v>
      </c>
      <c r="P27" s="14">
        <v>34500</v>
      </c>
      <c r="Q27" s="13">
        <v>65340</v>
      </c>
      <c r="R27" s="14">
        <v>112379</v>
      </c>
      <c r="S27" s="13">
        <v>70548</v>
      </c>
      <c r="T27" s="14">
        <v>31301</v>
      </c>
    </row>
    <row r="28" spans="2:20" x14ac:dyDescent="0.25">
      <c r="B28" s="5" t="s">
        <v>32</v>
      </c>
      <c r="C28" s="13">
        <v>187213</v>
      </c>
      <c r="D28" s="14">
        <v>348469</v>
      </c>
      <c r="E28" s="13">
        <v>243253</v>
      </c>
      <c r="F28" s="15">
        <v>277795</v>
      </c>
      <c r="G28" s="13">
        <v>196279</v>
      </c>
      <c r="H28" s="15">
        <v>226156</v>
      </c>
      <c r="I28" s="13">
        <v>251604</v>
      </c>
      <c r="J28" s="14">
        <v>232672</v>
      </c>
      <c r="K28" s="13">
        <v>231928</v>
      </c>
      <c r="L28" s="14">
        <v>409959</v>
      </c>
      <c r="M28" s="13">
        <v>551945</v>
      </c>
      <c r="N28" s="14">
        <v>587451</v>
      </c>
      <c r="O28" s="13">
        <v>2014367</v>
      </c>
      <c r="P28" s="14">
        <v>3686121</v>
      </c>
      <c r="Q28" s="13">
        <v>3631054</v>
      </c>
      <c r="R28" s="14">
        <v>3006453</v>
      </c>
      <c r="S28" s="13">
        <v>4570885</v>
      </c>
      <c r="T28" s="14">
        <v>3460073</v>
      </c>
    </row>
    <row r="29" spans="2:20" x14ac:dyDescent="0.25">
      <c r="B29" s="5" t="s">
        <v>33</v>
      </c>
      <c r="C29" s="13">
        <v>0</v>
      </c>
      <c r="D29" s="14">
        <v>10</v>
      </c>
      <c r="E29" s="13">
        <v>112988</v>
      </c>
      <c r="F29" s="15">
        <v>10</v>
      </c>
      <c r="G29" s="13">
        <v>0</v>
      </c>
      <c r="H29" s="15">
        <v>258</v>
      </c>
      <c r="I29" s="13">
        <v>350</v>
      </c>
      <c r="J29" s="14">
        <v>300</v>
      </c>
      <c r="K29" s="13">
        <v>400</v>
      </c>
      <c r="L29" s="14">
        <v>12713</v>
      </c>
      <c r="M29" s="13">
        <v>16530</v>
      </c>
      <c r="N29" s="14">
        <v>43790</v>
      </c>
      <c r="O29" s="13">
        <v>22496</v>
      </c>
      <c r="P29" s="14">
        <v>82755</v>
      </c>
      <c r="Q29" s="13">
        <v>87304</v>
      </c>
      <c r="R29" s="14">
        <v>81742</v>
      </c>
      <c r="S29" s="13">
        <v>108773</v>
      </c>
      <c r="T29" s="14">
        <v>59164</v>
      </c>
    </row>
    <row r="30" spans="2:20" x14ac:dyDescent="0.25">
      <c r="B30" s="5" t="s">
        <v>34</v>
      </c>
      <c r="C30" s="13">
        <v>10923</v>
      </c>
      <c r="D30" s="14">
        <v>9804</v>
      </c>
      <c r="E30" s="13">
        <v>11241</v>
      </c>
      <c r="F30" s="15">
        <v>14899</v>
      </c>
      <c r="G30" s="13">
        <v>11495</v>
      </c>
      <c r="H30" s="15">
        <v>8260</v>
      </c>
      <c r="I30" s="13">
        <v>21401</v>
      </c>
      <c r="J30" s="14">
        <v>10588</v>
      </c>
      <c r="K30" s="13">
        <v>11422</v>
      </c>
      <c r="L30" s="14">
        <v>16039</v>
      </c>
      <c r="M30" s="13">
        <v>10814</v>
      </c>
      <c r="N30" s="14">
        <v>36312</v>
      </c>
      <c r="O30" s="13">
        <v>52173</v>
      </c>
      <c r="P30" s="14">
        <v>126857</v>
      </c>
      <c r="Q30" s="13">
        <v>133534</v>
      </c>
      <c r="R30" s="14">
        <v>16204</v>
      </c>
      <c r="S30" s="13">
        <v>18871</v>
      </c>
      <c r="T30" s="14">
        <v>5808</v>
      </c>
    </row>
    <row r="31" spans="2:20" x14ac:dyDescent="0.25">
      <c r="B31" s="5" t="s">
        <v>35</v>
      </c>
      <c r="C31" s="13">
        <v>20655</v>
      </c>
      <c r="D31" s="14">
        <v>33887</v>
      </c>
      <c r="E31" s="13">
        <v>149774</v>
      </c>
      <c r="F31" s="15">
        <v>1094110</v>
      </c>
      <c r="G31" s="13">
        <v>207033</v>
      </c>
      <c r="H31" s="15">
        <v>104702</v>
      </c>
      <c r="I31" s="13">
        <v>1063806</v>
      </c>
      <c r="J31" s="14">
        <v>84981</v>
      </c>
      <c r="K31" s="13">
        <v>1241992</v>
      </c>
      <c r="L31" s="14">
        <v>627884</v>
      </c>
      <c r="M31" s="13">
        <v>2592821</v>
      </c>
      <c r="N31" s="14">
        <v>298730</v>
      </c>
      <c r="O31" s="13">
        <v>2676137</v>
      </c>
      <c r="P31" s="14">
        <v>339130</v>
      </c>
      <c r="Q31" s="13">
        <v>2236416</v>
      </c>
      <c r="R31" s="14">
        <v>885348</v>
      </c>
      <c r="S31" s="13">
        <v>3106730</v>
      </c>
      <c r="T31" s="14">
        <v>1445200</v>
      </c>
    </row>
    <row r="32" spans="2:20" x14ac:dyDescent="0.25">
      <c r="B32" s="5" t="s">
        <v>36</v>
      </c>
      <c r="C32" s="13">
        <v>3215963</v>
      </c>
      <c r="D32" s="14">
        <v>0</v>
      </c>
      <c r="E32" s="13">
        <v>0</v>
      </c>
      <c r="F32" s="15">
        <v>0</v>
      </c>
      <c r="G32" s="13">
        <v>0</v>
      </c>
      <c r="H32" s="15">
        <v>0</v>
      </c>
      <c r="I32" s="13">
        <v>0</v>
      </c>
      <c r="J32" s="14">
        <v>0</v>
      </c>
      <c r="K32" s="13">
        <v>0</v>
      </c>
      <c r="L32" s="14">
        <v>0</v>
      </c>
      <c r="M32" s="13">
        <v>0</v>
      </c>
      <c r="N32" s="14">
        <v>0</v>
      </c>
      <c r="O32" s="13">
        <v>0</v>
      </c>
      <c r="P32" s="14">
        <v>0</v>
      </c>
      <c r="Q32" s="13">
        <v>0</v>
      </c>
      <c r="R32" s="14">
        <v>0</v>
      </c>
      <c r="S32" s="13">
        <v>0</v>
      </c>
      <c r="T32" s="14">
        <v>0</v>
      </c>
    </row>
    <row r="33" spans="2:20" s="20" customFormat="1" x14ac:dyDescent="0.25">
      <c r="B33" s="17" t="s">
        <v>37</v>
      </c>
      <c r="C33" s="18">
        <f>+C22+C23+SUM(C26:C31)+C32</f>
        <v>5258825</v>
      </c>
      <c r="D33" s="19">
        <f t="shared" ref="D33:M33" si="2">+D22+D23+SUM(D26:D31)</f>
        <v>4209359</v>
      </c>
      <c r="E33" s="18">
        <f t="shared" si="2"/>
        <v>2297278</v>
      </c>
      <c r="F33" s="24">
        <f t="shared" si="2"/>
        <v>3307241</v>
      </c>
      <c r="G33" s="18">
        <f t="shared" si="2"/>
        <v>4167673</v>
      </c>
      <c r="H33" s="24">
        <f t="shared" si="2"/>
        <v>7136074</v>
      </c>
      <c r="I33" s="18">
        <f t="shared" si="2"/>
        <v>6883935</v>
      </c>
      <c r="J33" s="19">
        <f t="shared" si="2"/>
        <v>8459729</v>
      </c>
      <c r="K33" s="18">
        <f t="shared" si="2"/>
        <v>6933617</v>
      </c>
      <c r="L33" s="19">
        <f>+L22+L23+SUM(L26:L31)</f>
        <v>12552536</v>
      </c>
      <c r="M33" s="18">
        <f t="shared" si="2"/>
        <v>15231079</v>
      </c>
      <c r="N33" s="19">
        <f t="shared" ref="N33:T33" si="3">+N22+N23+SUM(N26:N31)</f>
        <v>19018477</v>
      </c>
      <c r="O33" s="18">
        <f t="shared" si="3"/>
        <v>25069584</v>
      </c>
      <c r="P33" s="19">
        <f t="shared" si="3"/>
        <v>30537820</v>
      </c>
      <c r="Q33" s="18">
        <f t="shared" si="3"/>
        <v>37101440</v>
      </c>
      <c r="R33" s="19">
        <f t="shared" si="3"/>
        <v>40750675</v>
      </c>
      <c r="S33" s="18">
        <f t="shared" si="3"/>
        <v>30852167</v>
      </c>
      <c r="T33" s="19">
        <f t="shared" si="3"/>
        <v>37268933</v>
      </c>
    </row>
    <row r="34" spans="2:20" x14ac:dyDescent="0.25">
      <c r="C34" s="21"/>
      <c r="D34" s="22"/>
      <c r="E34" s="21"/>
      <c r="F34" s="23"/>
      <c r="G34" s="21"/>
      <c r="H34" s="23"/>
      <c r="I34" s="21"/>
      <c r="J34" s="22"/>
      <c r="K34" s="21"/>
      <c r="L34" s="22"/>
      <c r="M34" s="21"/>
      <c r="N34" s="22"/>
      <c r="O34" s="21"/>
      <c r="P34" s="22"/>
      <c r="Q34" s="21"/>
      <c r="R34" s="22"/>
      <c r="S34" s="21"/>
      <c r="T34" s="22"/>
    </row>
    <row r="35" spans="2:20" s="20" customFormat="1" ht="12" thickBot="1" x14ac:dyDescent="0.3">
      <c r="B35" s="25" t="s">
        <v>38</v>
      </c>
      <c r="C35" s="26">
        <f t="shared" ref="C35:T35" si="4">+C33+C20</f>
        <v>7033641</v>
      </c>
      <c r="D35" s="27">
        <f t="shared" si="4"/>
        <v>5944949</v>
      </c>
      <c r="E35" s="26">
        <f t="shared" si="4"/>
        <v>4118463</v>
      </c>
      <c r="F35" s="28">
        <f t="shared" si="4"/>
        <v>5578144</v>
      </c>
      <c r="G35" s="26">
        <f t="shared" si="4"/>
        <v>7246277</v>
      </c>
      <c r="H35" s="28">
        <f t="shared" si="4"/>
        <v>10952766</v>
      </c>
      <c r="I35" s="26">
        <f t="shared" si="4"/>
        <v>11554926</v>
      </c>
      <c r="J35" s="27">
        <f t="shared" si="4"/>
        <v>14035540</v>
      </c>
      <c r="K35" s="26">
        <f t="shared" si="4"/>
        <v>13479624</v>
      </c>
      <c r="L35" s="27">
        <f t="shared" si="4"/>
        <v>19875039</v>
      </c>
      <c r="M35" s="26">
        <f t="shared" si="4"/>
        <v>24052301</v>
      </c>
      <c r="N35" s="27">
        <f t="shared" si="4"/>
        <v>28887182</v>
      </c>
      <c r="O35" s="26">
        <f t="shared" si="4"/>
        <v>35731019</v>
      </c>
      <c r="P35" s="27">
        <f t="shared" si="4"/>
        <v>42672836</v>
      </c>
      <c r="Q35" s="26">
        <f t="shared" si="4"/>
        <v>51141353</v>
      </c>
      <c r="R35" s="27">
        <f t="shared" si="4"/>
        <v>56785756</v>
      </c>
      <c r="S35" s="26">
        <f t="shared" si="4"/>
        <v>49721645</v>
      </c>
      <c r="T35" s="27">
        <f t="shared" si="4"/>
        <v>58762478</v>
      </c>
    </row>
    <row r="36" spans="2:20" ht="12" thickTop="1" x14ac:dyDescent="0.25">
      <c r="C36" s="13"/>
      <c r="D36" s="14"/>
      <c r="E36" s="13"/>
      <c r="F36" s="15"/>
      <c r="G36" s="13"/>
      <c r="H36" s="15"/>
      <c r="I36" s="13"/>
      <c r="J36" s="14"/>
      <c r="K36" s="13"/>
      <c r="L36" s="14"/>
      <c r="M36" s="13"/>
      <c r="N36" s="14"/>
      <c r="O36" s="13"/>
      <c r="P36" s="14"/>
      <c r="Q36" s="13"/>
      <c r="R36" s="14"/>
      <c r="S36" s="13"/>
      <c r="T36" s="14"/>
    </row>
    <row r="37" spans="2:20" x14ac:dyDescent="0.25">
      <c r="B37" s="5" t="s">
        <v>39</v>
      </c>
      <c r="C37" s="13">
        <v>7953765</v>
      </c>
      <c r="D37" s="14">
        <f>7953765</f>
        <v>7953765</v>
      </c>
      <c r="E37" s="13">
        <f>7953765</f>
        <v>7953765</v>
      </c>
      <c r="F37" s="15">
        <f>8787665</f>
        <v>8787665</v>
      </c>
      <c r="G37" s="13">
        <v>8787665</v>
      </c>
      <c r="H37" s="15">
        <f>8787665</f>
        <v>8787665</v>
      </c>
      <c r="I37" s="13">
        <v>8787665</v>
      </c>
      <c r="J37" s="14">
        <f>8787665</f>
        <v>8787665</v>
      </c>
      <c r="K37" s="13">
        <v>8787665</v>
      </c>
      <c r="L37" s="14">
        <v>8787665</v>
      </c>
      <c r="M37" s="13">
        <v>8787665</v>
      </c>
      <c r="N37" s="14">
        <v>8787665</v>
      </c>
      <c r="O37" s="13">
        <v>8787665</v>
      </c>
      <c r="P37" s="14">
        <v>8787665</v>
      </c>
      <c r="Q37" s="13">
        <v>8787665</v>
      </c>
      <c r="R37" s="14">
        <v>8787665</v>
      </c>
      <c r="S37" s="13">
        <v>8787665</v>
      </c>
      <c r="T37" s="14">
        <v>8787665</v>
      </c>
    </row>
    <row r="38" spans="2:20" x14ac:dyDescent="0.25">
      <c r="B38" s="5" t="s">
        <v>40</v>
      </c>
      <c r="C38" s="13">
        <f>654035</f>
        <v>654035</v>
      </c>
      <c r="D38" s="14">
        <f>654035</f>
        <v>654035</v>
      </c>
      <c r="E38" s="13">
        <f>654035</f>
        <v>654035</v>
      </c>
      <c r="F38" s="15">
        <f>791232</f>
        <v>791232</v>
      </c>
      <c r="G38" s="13">
        <v>791232</v>
      </c>
      <c r="H38" s="15">
        <f>791232</f>
        <v>791232</v>
      </c>
      <c r="I38" s="13">
        <v>14866</v>
      </c>
      <c r="J38" s="14">
        <f>14866</f>
        <v>14866</v>
      </c>
      <c r="K38" s="13">
        <v>14866</v>
      </c>
      <c r="L38" s="14">
        <v>14866</v>
      </c>
      <c r="M38" s="13">
        <v>14866</v>
      </c>
      <c r="N38" s="14">
        <v>14866</v>
      </c>
      <c r="O38" s="13">
        <v>14866</v>
      </c>
      <c r="P38" s="14">
        <v>14866</v>
      </c>
      <c r="Q38" s="13">
        <v>14866</v>
      </c>
      <c r="R38" s="14">
        <v>14866</v>
      </c>
      <c r="S38" s="13">
        <v>14866</v>
      </c>
      <c r="T38" s="14">
        <v>14866</v>
      </c>
    </row>
    <row r="39" spans="2:20" x14ac:dyDescent="0.25">
      <c r="B39" s="5" t="s">
        <v>41</v>
      </c>
      <c r="C39" s="13">
        <v>0</v>
      </c>
      <c r="D39" s="14">
        <v>0</v>
      </c>
      <c r="E39" s="13">
        <v>0</v>
      </c>
      <c r="F39" s="15">
        <v>0</v>
      </c>
      <c r="G39" s="13">
        <v>0</v>
      </c>
      <c r="H39" s="15">
        <v>0</v>
      </c>
      <c r="I39" s="13">
        <v>0</v>
      </c>
      <c r="J39" s="14">
        <v>0</v>
      </c>
      <c r="K39" s="13">
        <v>0</v>
      </c>
      <c r="L39" s="14">
        <v>0</v>
      </c>
      <c r="M39" s="13">
        <v>185914</v>
      </c>
      <c r="N39" s="14">
        <v>264214</v>
      </c>
      <c r="O39" s="13">
        <v>605467</v>
      </c>
      <c r="P39" s="14">
        <v>534700</v>
      </c>
      <c r="Q39" s="13">
        <v>534700</v>
      </c>
      <c r="R39" s="14">
        <v>1126337</v>
      </c>
      <c r="S39" s="13">
        <v>1126337</v>
      </c>
      <c r="T39" s="14">
        <v>1126337</v>
      </c>
    </row>
    <row r="40" spans="2:20" x14ac:dyDescent="0.25">
      <c r="B40" s="5" t="s">
        <v>42</v>
      </c>
      <c r="C40" s="13">
        <v>-4737058</v>
      </c>
      <c r="D40" s="14">
        <v>-6241074</v>
      </c>
      <c r="E40" s="13">
        <v>-6183418</v>
      </c>
      <c r="F40" s="15">
        <f>+-5864822</f>
        <v>-5864822</v>
      </c>
      <c r="G40" s="13">
        <v>-5711047</v>
      </c>
      <c r="H40" s="15">
        <f>-3534702</f>
        <v>-3534702</v>
      </c>
      <c r="I40" s="13">
        <v>-1767170</v>
      </c>
      <c r="J40" s="14">
        <f>527408</f>
        <v>527408</v>
      </c>
      <c r="K40" s="13">
        <v>125843</v>
      </c>
      <c r="L40" s="14">
        <v>3258377</v>
      </c>
      <c r="M40" s="13">
        <v>4259296</v>
      </c>
      <c r="N40" s="14">
        <v>10094154</v>
      </c>
      <c r="O40" s="13">
        <v>17682176</v>
      </c>
      <c r="P40" s="14">
        <v>18726211</v>
      </c>
      <c r="Q40" s="13">
        <v>26501157</v>
      </c>
      <c r="R40" s="14">
        <v>30293171</v>
      </c>
      <c r="S40" s="13">
        <v>27132034</v>
      </c>
      <c r="T40" s="14">
        <v>33707401</v>
      </c>
    </row>
    <row r="41" spans="2:20" x14ac:dyDescent="0.25">
      <c r="B41" s="5" t="s">
        <v>43</v>
      </c>
      <c r="C41" s="13">
        <v>0</v>
      </c>
      <c r="D41" s="14">
        <v>0</v>
      </c>
      <c r="E41" s="13">
        <v>0</v>
      </c>
      <c r="F41" s="15">
        <v>-265</v>
      </c>
      <c r="G41" s="13">
        <v>19542</v>
      </c>
      <c r="H41" s="15">
        <v>40056</v>
      </c>
      <c r="I41" s="13">
        <v>-5566</v>
      </c>
      <c r="J41" s="14">
        <f>-37599</f>
        <v>-37599</v>
      </c>
      <c r="K41" s="13">
        <v>4437</v>
      </c>
      <c r="L41" s="14">
        <v>188232</v>
      </c>
      <c r="M41" s="13">
        <v>115100</v>
      </c>
      <c r="N41" s="14">
        <v>113975</v>
      </c>
      <c r="O41" s="13">
        <v>-532793</v>
      </c>
      <c r="P41" s="14">
        <v>0</v>
      </c>
      <c r="Q41" s="13">
        <v>0</v>
      </c>
      <c r="R41" s="14">
        <v>0</v>
      </c>
      <c r="S41" s="13">
        <v>0</v>
      </c>
      <c r="T41" s="14">
        <v>0</v>
      </c>
    </row>
    <row r="42" spans="2:20" x14ac:dyDescent="0.25">
      <c r="B42" s="5" t="s">
        <v>44</v>
      </c>
      <c r="C42" s="13">
        <v>0</v>
      </c>
      <c r="D42" s="14">
        <v>0</v>
      </c>
      <c r="E42" s="13">
        <v>0</v>
      </c>
      <c r="F42" s="15">
        <v>0</v>
      </c>
      <c r="G42" s="13">
        <v>0</v>
      </c>
      <c r="H42" s="15">
        <v>0</v>
      </c>
      <c r="I42" s="13">
        <v>0</v>
      </c>
      <c r="J42" s="14">
        <v>0</v>
      </c>
      <c r="K42" s="13">
        <v>0</v>
      </c>
      <c r="L42" s="14">
        <v>0</v>
      </c>
      <c r="M42" s="13">
        <v>0</v>
      </c>
      <c r="N42" s="14">
        <v>0</v>
      </c>
      <c r="O42" s="13">
        <v>0</v>
      </c>
      <c r="P42" s="14">
        <v>0</v>
      </c>
      <c r="Q42" s="13">
        <v>0</v>
      </c>
      <c r="R42" s="14">
        <v>0</v>
      </c>
      <c r="S42" s="13">
        <v>0</v>
      </c>
      <c r="T42" s="14">
        <v>101917</v>
      </c>
    </row>
    <row r="43" spans="2:20" x14ac:dyDescent="0.25">
      <c r="B43" s="5" t="s">
        <v>45</v>
      </c>
      <c r="C43" s="13">
        <v>0</v>
      </c>
      <c r="D43" s="14">
        <v>0</v>
      </c>
      <c r="E43" s="13">
        <v>0</v>
      </c>
      <c r="F43" s="15">
        <v>-199962</v>
      </c>
      <c r="G43" s="13">
        <v>-199962</v>
      </c>
      <c r="H43" s="15">
        <v>-81397</v>
      </c>
      <c r="I43" s="13">
        <v>-110419</v>
      </c>
      <c r="J43" s="14">
        <v>-227679</v>
      </c>
      <c r="K43" s="13">
        <v>-363125</v>
      </c>
      <c r="L43" s="14">
        <v>-463123</v>
      </c>
      <c r="M43" s="13">
        <v>-365169</v>
      </c>
      <c r="N43" s="14">
        <v>-567636</v>
      </c>
      <c r="O43" s="13">
        <v>-632453</v>
      </c>
      <c r="P43" s="14">
        <v>-788975</v>
      </c>
      <c r="Q43" s="13">
        <v>-798221</v>
      </c>
      <c r="R43" s="14">
        <v>-520532</v>
      </c>
      <c r="S43" s="13">
        <v>-565133</v>
      </c>
      <c r="T43" s="14">
        <v>-972080</v>
      </c>
    </row>
    <row r="44" spans="2:20" x14ac:dyDescent="0.25">
      <c r="B44" s="5" t="s">
        <v>46</v>
      </c>
      <c r="C44" s="13">
        <v>-5187469</v>
      </c>
      <c r="D44" s="14">
        <v>0</v>
      </c>
      <c r="E44" s="13">
        <v>0</v>
      </c>
      <c r="F44" s="15">
        <v>0</v>
      </c>
      <c r="G44" s="13">
        <v>0</v>
      </c>
      <c r="H44" s="15">
        <v>0</v>
      </c>
      <c r="I44" s="13">
        <v>0</v>
      </c>
      <c r="J44" s="14">
        <v>0</v>
      </c>
      <c r="K44" s="13">
        <v>0</v>
      </c>
      <c r="L44" s="14">
        <v>0</v>
      </c>
      <c r="M44" s="13">
        <v>0</v>
      </c>
      <c r="N44" s="14">
        <v>0</v>
      </c>
      <c r="O44" s="13">
        <v>0</v>
      </c>
      <c r="P44" s="14">
        <v>0</v>
      </c>
      <c r="Q44" s="13">
        <v>0</v>
      </c>
      <c r="R44" s="14">
        <v>0</v>
      </c>
      <c r="S44" s="13">
        <v>0</v>
      </c>
      <c r="T44" s="14">
        <v>0</v>
      </c>
    </row>
    <row r="45" spans="2:20" x14ac:dyDescent="0.25">
      <c r="B45" s="17" t="s">
        <v>47</v>
      </c>
      <c r="C45" s="18">
        <f t="shared" ref="C45:S45" si="5">+C37+C40+C43+C38+C41+C39+C42</f>
        <v>3870742</v>
      </c>
      <c r="D45" s="19">
        <f t="shared" si="5"/>
        <v>2366726</v>
      </c>
      <c r="E45" s="18">
        <f t="shared" si="5"/>
        <v>2424382</v>
      </c>
      <c r="F45" s="24">
        <f t="shared" si="5"/>
        <v>3513848</v>
      </c>
      <c r="G45" s="18">
        <f t="shared" si="5"/>
        <v>3687430</v>
      </c>
      <c r="H45" s="24">
        <f t="shared" si="5"/>
        <v>6002854</v>
      </c>
      <c r="I45" s="18">
        <f t="shared" si="5"/>
        <v>6919376</v>
      </c>
      <c r="J45" s="19">
        <f t="shared" si="5"/>
        <v>9064661</v>
      </c>
      <c r="K45" s="18">
        <f t="shared" si="5"/>
        <v>8569686</v>
      </c>
      <c r="L45" s="19">
        <f t="shared" si="5"/>
        <v>11786017</v>
      </c>
      <c r="M45" s="18">
        <f t="shared" si="5"/>
        <v>12997672</v>
      </c>
      <c r="N45" s="19">
        <f t="shared" si="5"/>
        <v>18707238</v>
      </c>
      <c r="O45" s="18">
        <f t="shared" si="5"/>
        <v>25924928</v>
      </c>
      <c r="P45" s="19">
        <f t="shared" si="5"/>
        <v>27274467</v>
      </c>
      <c r="Q45" s="18">
        <f t="shared" si="5"/>
        <v>35040167</v>
      </c>
      <c r="R45" s="19">
        <f t="shared" si="5"/>
        <v>39701507</v>
      </c>
      <c r="S45" s="18">
        <f t="shared" si="5"/>
        <v>36495769</v>
      </c>
      <c r="T45" s="19">
        <f>+T37+T40+T43+T38+T41+T39+T42</f>
        <v>42766106</v>
      </c>
    </row>
    <row r="46" spans="2:20" x14ac:dyDescent="0.25">
      <c r="C46" s="13"/>
      <c r="D46" s="14"/>
      <c r="E46" s="13"/>
      <c r="F46" s="15"/>
      <c r="G46" s="13"/>
      <c r="H46" s="15"/>
      <c r="I46" s="13"/>
      <c r="J46" s="14"/>
      <c r="K46" s="13"/>
      <c r="L46" s="14"/>
      <c r="M46" s="13"/>
      <c r="N46" s="14"/>
      <c r="O46" s="13"/>
      <c r="P46" s="14"/>
      <c r="Q46" s="13"/>
      <c r="R46" s="14"/>
      <c r="S46" s="13"/>
      <c r="T46" s="14"/>
    </row>
    <row r="47" spans="2:20" x14ac:dyDescent="0.25">
      <c r="B47" s="5" t="s">
        <v>48</v>
      </c>
      <c r="C47" s="13">
        <v>0</v>
      </c>
      <c r="D47" s="14">
        <v>346874</v>
      </c>
      <c r="E47" s="13">
        <v>126874</v>
      </c>
      <c r="F47" s="15">
        <v>1132891</v>
      </c>
      <c r="G47" s="13">
        <v>2842840</v>
      </c>
      <c r="H47" s="15">
        <v>3618001</v>
      </c>
      <c r="I47" s="13">
        <v>3204116</v>
      </c>
      <c r="J47" s="14">
        <v>1933576</v>
      </c>
      <c r="K47" s="13">
        <v>1048349</v>
      </c>
      <c r="L47" s="14">
        <v>1548332</v>
      </c>
      <c r="M47" s="13">
        <v>5108731</v>
      </c>
      <c r="N47" s="14">
        <v>4776944</v>
      </c>
      <c r="O47" s="13">
        <v>5821615</v>
      </c>
      <c r="P47" s="14">
        <v>8778256</v>
      </c>
      <c r="Q47" s="13">
        <v>5940325</v>
      </c>
      <c r="R47" s="14">
        <v>3844719</v>
      </c>
      <c r="S47" s="13">
        <v>5968640</v>
      </c>
      <c r="T47" s="14">
        <v>11733698</v>
      </c>
    </row>
    <row r="48" spans="2:20" x14ac:dyDescent="0.25">
      <c r="B48" s="5" t="s">
        <v>49</v>
      </c>
      <c r="C48" s="13">
        <v>0</v>
      </c>
      <c r="D48" s="14">
        <v>0</v>
      </c>
      <c r="E48" s="13">
        <v>0</v>
      </c>
      <c r="F48" s="15"/>
      <c r="G48" s="13">
        <v>0</v>
      </c>
      <c r="H48" s="15"/>
      <c r="I48" s="13">
        <v>15381</v>
      </c>
      <c r="J48" s="14">
        <v>64871</v>
      </c>
      <c r="K48" s="13">
        <v>85004</v>
      </c>
      <c r="L48" s="14">
        <v>75035</v>
      </c>
      <c r="M48" s="13">
        <v>104643</v>
      </c>
      <c r="N48" s="14">
        <v>101821</v>
      </c>
      <c r="O48" s="13">
        <v>171893</v>
      </c>
      <c r="P48" s="14">
        <v>256226</v>
      </c>
      <c r="Q48" s="13">
        <v>233158</v>
      </c>
      <c r="R48" s="14">
        <v>216490</v>
      </c>
      <c r="S48" s="13">
        <v>191396</v>
      </c>
      <c r="T48" s="14">
        <v>225691</v>
      </c>
    </row>
    <row r="49" spans="2:20" x14ac:dyDescent="0.25">
      <c r="B49" s="5" t="s">
        <v>50</v>
      </c>
      <c r="C49" s="13">
        <v>0</v>
      </c>
      <c r="D49" s="14">
        <v>0</v>
      </c>
      <c r="E49" s="13">
        <v>2067</v>
      </c>
      <c r="F49" s="15">
        <v>50949</v>
      </c>
      <c r="G49" s="13">
        <v>25385</v>
      </c>
      <c r="H49" s="15">
        <v>51029</v>
      </c>
      <c r="I49" s="13">
        <v>57717</v>
      </c>
      <c r="J49" s="14">
        <v>74727</v>
      </c>
      <c r="K49" s="13">
        <v>69860</v>
      </c>
      <c r="L49" s="14">
        <v>108964</v>
      </c>
      <c r="M49" s="13">
        <v>74492</v>
      </c>
      <c r="N49" s="14">
        <v>118889</v>
      </c>
      <c r="O49" s="13">
        <v>70114</v>
      </c>
      <c r="P49" s="14">
        <v>16196</v>
      </c>
      <c r="Q49" s="13">
        <v>31621</v>
      </c>
      <c r="R49" s="14">
        <v>69281</v>
      </c>
      <c r="S49" s="13">
        <v>52177</v>
      </c>
      <c r="T49" s="14">
        <v>81558</v>
      </c>
    </row>
    <row r="50" spans="2:20" x14ac:dyDescent="0.25">
      <c r="B50" s="5" t="s">
        <v>51</v>
      </c>
      <c r="C50" s="13">
        <v>0</v>
      </c>
      <c r="D50" s="14">
        <v>0</v>
      </c>
      <c r="E50" s="13">
        <v>0</v>
      </c>
      <c r="F50" s="15">
        <v>0</v>
      </c>
      <c r="G50" s="13">
        <v>0</v>
      </c>
      <c r="H50" s="15">
        <v>0</v>
      </c>
      <c r="I50" s="13">
        <v>0</v>
      </c>
      <c r="J50" s="14">
        <v>0</v>
      </c>
      <c r="K50" s="13">
        <v>0</v>
      </c>
      <c r="L50" s="14">
        <v>0</v>
      </c>
      <c r="M50" s="13">
        <v>0</v>
      </c>
      <c r="N50" s="14">
        <v>0</v>
      </c>
      <c r="O50" s="13">
        <v>0</v>
      </c>
      <c r="P50" s="14">
        <v>0</v>
      </c>
      <c r="Q50" s="13">
        <v>0</v>
      </c>
      <c r="R50" s="14">
        <v>0</v>
      </c>
      <c r="S50" s="13">
        <v>0</v>
      </c>
      <c r="T50" s="14">
        <v>15287</v>
      </c>
    </row>
    <row r="51" spans="2:20" x14ac:dyDescent="0.25">
      <c r="B51" s="5" t="s">
        <v>52</v>
      </c>
      <c r="C51" s="13">
        <v>0</v>
      </c>
      <c r="D51" s="14">
        <v>0</v>
      </c>
      <c r="E51" s="13">
        <v>0</v>
      </c>
      <c r="F51" s="15">
        <v>0</v>
      </c>
      <c r="G51" s="13">
        <v>0</v>
      </c>
      <c r="H51" s="15">
        <v>0</v>
      </c>
      <c r="I51" s="13">
        <v>0</v>
      </c>
      <c r="J51" s="14">
        <v>0</v>
      </c>
      <c r="K51" s="13">
        <v>0</v>
      </c>
      <c r="L51" s="14">
        <v>0</v>
      </c>
      <c r="M51" s="13">
        <v>0</v>
      </c>
      <c r="N51" s="14">
        <v>0</v>
      </c>
      <c r="O51" s="13">
        <v>0</v>
      </c>
      <c r="P51" s="14">
        <v>32808</v>
      </c>
      <c r="Q51" s="13">
        <v>43546</v>
      </c>
      <c r="R51" s="14">
        <v>43546</v>
      </c>
      <c r="S51" s="13">
        <v>41176</v>
      </c>
      <c r="T51" s="14">
        <v>40492</v>
      </c>
    </row>
    <row r="52" spans="2:20" x14ac:dyDescent="0.25">
      <c r="B52" s="17" t="s">
        <v>53</v>
      </c>
      <c r="C52" s="18">
        <f t="shared" ref="C52:S52" si="6">+C49+C47+C48+C51+C50</f>
        <v>0</v>
      </c>
      <c r="D52" s="19">
        <f t="shared" si="6"/>
        <v>346874</v>
      </c>
      <c r="E52" s="18">
        <f t="shared" si="6"/>
        <v>128941</v>
      </c>
      <c r="F52" s="24">
        <f t="shared" si="6"/>
        <v>1183840</v>
      </c>
      <c r="G52" s="18">
        <f t="shared" si="6"/>
        <v>2868225</v>
      </c>
      <c r="H52" s="24">
        <f t="shared" si="6"/>
        <v>3669030</v>
      </c>
      <c r="I52" s="18">
        <f t="shared" si="6"/>
        <v>3277214</v>
      </c>
      <c r="J52" s="19">
        <f t="shared" si="6"/>
        <v>2073174</v>
      </c>
      <c r="K52" s="18">
        <f t="shared" si="6"/>
        <v>1203213</v>
      </c>
      <c r="L52" s="19">
        <f t="shared" si="6"/>
        <v>1732331</v>
      </c>
      <c r="M52" s="18">
        <f t="shared" si="6"/>
        <v>5287866</v>
      </c>
      <c r="N52" s="19">
        <f t="shared" si="6"/>
        <v>4997654</v>
      </c>
      <c r="O52" s="18">
        <f t="shared" si="6"/>
        <v>6063622</v>
      </c>
      <c r="P52" s="19">
        <f t="shared" si="6"/>
        <v>9083486</v>
      </c>
      <c r="Q52" s="18">
        <f t="shared" si="6"/>
        <v>6248650</v>
      </c>
      <c r="R52" s="19">
        <f t="shared" si="6"/>
        <v>4174036</v>
      </c>
      <c r="S52" s="18">
        <f t="shared" si="6"/>
        <v>6253389</v>
      </c>
      <c r="T52" s="19">
        <f>+T49+T47+T48+T51+T50</f>
        <v>12096726</v>
      </c>
    </row>
    <row r="53" spans="2:20" x14ac:dyDescent="0.25">
      <c r="C53" s="13"/>
      <c r="D53" s="14"/>
      <c r="E53" s="13"/>
      <c r="F53" s="15"/>
      <c r="G53" s="13"/>
      <c r="H53" s="15"/>
      <c r="I53" s="13"/>
      <c r="J53" s="14"/>
      <c r="K53" s="13"/>
      <c r="L53" s="14"/>
      <c r="M53" s="13"/>
      <c r="N53" s="14"/>
      <c r="O53" s="13"/>
      <c r="P53" s="14"/>
      <c r="Q53" s="13"/>
      <c r="R53" s="14"/>
      <c r="S53" s="13"/>
      <c r="T53" s="14"/>
    </row>
    <row r="54" spans="2:20" x14ac:dyDescent="0.25">
      <c r="B54" s="5" t="s">
        <v>54</v>
      </c>
      <c r="C54" s="13">
        <v>5295106</v>
      </c>
      <c r="D54" s="14">
        <v>2853126</v>
      </c>
      <c r="E54" s="13">
        <v>1270613</v>
      </c>
      <c r="F54" s="15">
        <v>703666</v>
      </c>
      <c r="G54" s="13">
        <v>430000</v>
      </c>
      <c r="H54" s="15">
        <v>684167</v>
      </c>
      <c r="I54" s="13">
        <v>1005556</v>
      </c>
      <c r="J54" s="14">
        <v>2190389</v>
      </c>
      <c r="K54" s="13">
        <v>3285539</v>
      </c>
      <c r="L54" s="14">
        <v>5174041</v>
      </c>
      <c r="M54" s="13">
        <v>4089716</v>
      </c>
      <c r="N54" s="14">
        <v>3529187</v>
      </c>
      <c r="O54" s="13">
        <v>1743423</v>
      </c>
      <c r="P54" s="14">
        <v>4945378</v>
      </c>
      <c r="Q54" s="13">
        <v>7786401</v>
      </c>
      <c r="R54" s="14">
        <v>10637931</v>
      </c>
      <c r="S54" s="13">
        <v>3210478</v>
      </c>
      <c r="T54" s="14">
        <v>2387118</v>
      </c>
    </row>
    <row r="55" spans="2:20" x14ac:dyDescent="0.25">
      <c r="B55" s="5" t="s">
        <v>55</v>
      </c>
      <c r="C55" s="13">
        <v>0</v>
      </c>
      <c r="D55" s="14">
        <v>0</v>
      </c>
      <c r="E55" s="13">
        <v>0</v>
      </c>
      <c r="F55" s="15">
        <v>0</v>
      </c>
      <c r="G55" s="13">
        <v>0</v>
      </c>
      <c r="H55" s="15">
        <v>0</v>
      </c>
      <c r="I55" s="13">
        <v>9117</v>
      </c>
      <c r="J55" s="14">
        <v>19117</v>
      </c>
      <c r="K55" s="13">
        <v>22956</v>
      </c>
      <c r="L55" s="14">
        <v>32181</v>
      </c>
      <c r="M55" s="13">
        <v>27960</v>
      </c>
      <c r="N55" s="14">
        <v>29891</v>
      </c>
      <c r="O55" s="13">
        <v>48746</v>
      </c>
      <c r="P55" s="14">
        <v>48437</v>
      </c>
      <c r="Q55" s="13">
        <v>51771</v>
      </c>
      <c r="R55" s="14">
        <v>50047</v>
      </c>
      <c r="S55" s="13">
        <v>38495</v>
      </c>
      <c r="T55" s="14">
        <v>63453</v>
      </c>
    </row>
    <row r="56" spans="2:20" x14ac:dyDescent="0.25">
      <c r="B56" s="5" t="s">
        <v>56</v>
      </c>
      <c r="C56" s="13">
        <v>102906</v>
      </c>
      <c r="D56" s="14">
        <v>77352</v>
      </c>
      <c r="E56" s="13">
        <v>78852</v>
      </c>
      <c r="F56" s="15">
        <v>62728</v>
      </c>
      <c r="G56" s="13">
        <v>194088</v>
      </c>
      <c r="H56" s="15">
        <v>279787</v>
      </c>
      <c r="I56" s="13">
        <v>198294</v>
      </c>
      <c r="J56" s="14">
        <v>255294</v>
      </c>
      <c r="K56" s="13">
        <v>241856</v>
      </c>
      <c r="L56" s="14">
        <v>439296</v>
      </c>
      <c r="M56" s="13">
        <v>567823</v>
      </c>
      <c r="N56" s="14">
        <v>520892</v>
      </c>
      <c r="O56" s="13">
        <v>153768</v>
      </c>
      <c r="P56" s="14">
        <v>353306</v>
      </c>
      <c r="Q56" s="13">
        <v>246198</v>
      </c>
      <c r="R56" s="14">
        <v>435715</v>
      </c>
      <c r="S56" s="13">
        <v>636052</v>
      </c>
      <c r="T56" s="14">
        <v>636138</v>
      </c>
    </row>
    <row r="57" spans="2:20" x14ac:dyDescent="0.25">
      <c r="B57" s="5" t="s">
        <v>57</v>
      </c>
      <c r="C57" s="13">
        <v>0</v>
      </c>
      <c r="D57" s="14">
        <v>0</v>
      </c>
      <c r="E57" s="13">
        <v>0</v>
      </c>
      <c r="F57" s="15">
        <v>0</v>
      </c>
      <c r="G57" s="13">
        <v>0</v>
      </c>
      <c r="H57" s="15">
        <v>0</v>
      </c>
      <c r="I57" s="13">
        <v>0</v>
      </c>
      <c r="J57" s="14">
        <v>0</v>
      </c>
      <c r="K57" s="13">
        <v>0</v>
      </c>
      <c r="L57" s="14">
        <v>315086</v>
      </c>
      <c r="M57" s="13">
        <v>0</v>
      </c>
      <c r="N57" s="14">
        <v>0</v>
      </c>
      <c r="O57" s="13">
        <v>0</v>
      </c>
      <c r="P57" s="14">
        <v>0</v>
      </c>
      <c r="Q57" s="13">
        <v>0</v>
      </c>
      <c r="R57" s="14">
        <v>0</v>
      </c>
      <c r="S57" s="13">
        <v>0</v>
      </c>
      <c r="T57" s="14">
        <v>0</v>
      </c>
    </row>
    <row r="58" spans="2:20" x14ac:dyDescent="0.25">
      <c r="B58" s="5" t="s">
        <v>58</v>
      </c>
      <c r="C58" s="13">
        <v>96898</v>
      </c>
      <c r="D58" s="14">
        <v>56266</v>
      </c>
      <c r="E58" s="13">
        <v>28516</v>
      </c>
      <c r="F58" s="15">
        <v>66432</v>
      </c>
      <c r="G58" s="13">
        <v>38415</v>
      </c>
      <c r="H58" s="15">
        <v>89840</v>
      </c>
      <c r="I58" s="13">
        <v>90985</v>
      </c>
      <c r="J58" s="14">
        <v>126727</v>
      </c>
      <c r="K58" s="13">
        <v>70798</v>
      </c>
      <c r="L58" s="14">
        <v>163635</v>
      </c>
      <c r="M58" s="13">
        <f>137247</f>
        <v>137247</v>
      </c>
      <c r="N58" s="14">
        <v>219436</v>
      </c>
      <c r="O58" s="13">
        <v>259041</v>
      </c>
      <c r="P58" s="14">
        <v>251655</v>
      </c>
      <c r="Q58" s="13">
        <v>351530</v>
      </c>
      <c r="R58" s="14">
        <v>315668</v>
      </c>
      <c r="S58" s="13">
        <v>511650</v>
      </c>
      <c r="T58" s="14">
        <v>419510</v>
      </c>
    </row>
    <row r="59" spans="2:20" x14ac:dyDescent="0.25">
      <c r="B59" s="5" t="s">
        <v>59</v>
      </c>
      <c r="C59" s="13">
        <v>0</v>
      </c>
      <c r="D59" s="14">
        <v>0</v>
      </c>
      <c r="E59" s="13">
        <v>0</v>
      </c>
      <c r="F59" s="15">
        <v>0</v>
      </c>
      <c r="G59" s="13">
        <v>0</v>
      </c>
      <c r="H59" s="15">
        <v>0</v>
      </c>
      <c r="I59" s="13">
        <v>0</v>
      </c>
      <c r="J59" s="14">
        <v>0</v>
      </c>
      <c r="K59" s="13">
        <v>0</v>
      </c>
      <c r="L59" s="14">
        <v>0</v>
      </c>
      <c r="M59" s="13">
        <v>777152</v>
      </c>
      <c r="N59" s="14">
        <v>0</v>
      </c>
      <c r="O59" s="13">
        <v>692533</v>
      </c>
      <c r="P59" s="14">
        <v>0</v>
      </c>
      <c r="Q59" s="13">
        <v>863474</v>
      </c>
      <c r="R59" s="14">
        <v>0</v>
      </c>
      <c r="S59" s="13">
        <v>1745236</v>
      </c>
      <c r="T59" s="14">
        <v>0</v>
      </c>
    </row>
    <row r="60" spans="2:20" x14ac:dyDescent="0.25">
      <c r="B60" s="5" t="s">
        <v>60</v>
      </c>
      <c r="C60" s="13">
        <v>692</v>
      </c>
      <c r="D60" s="14">
        <v>3707</v>
      </c>
      <c r="E60" s="13">
        <v>573</v>
      </c>
      <c r="F60" s="15">
        <v>1326</v>
      </c>
      <c r="G60" s="13">
        <v>132</v>
      </c>
      <c r="H60" s="15">
        <v>35709</v>
      </c>
      <c r="I60" s="13">
        <v>6958</v>
      </c>
      <c r="J60" s="14">
        <v>70170</v>
      </c>
      <c r="K60" s="13">
        <v>27112</v>
      </c>
      <c r="L60" s="14">
        <v>69105</v>
      </c>
      <c r="M60" s="13">
        <v>21874</v>
      </c>
      <c r="N60" s="14">
        <v>98245</v>
      </c>
      <c r="O60" s="13">
        <v>40395</v>
      </c>
      <c r="P60" s="14">
        <v>68837</v>
      </c>
      <c r="Q60" s="13">
        <v>79801</v>
      </c>
      <c r="R60" s="14">
        <v>129009</v>
      </c>
      <c r="S60" s="13">
        <v>55503</v>
      </c>
      <c r="T60" s="14">
        <v>62297</v>
      </c>
    </row>
    <row r="61" spans="2:20" x14ac:dyDescent="0.25">
      <c r="B61" s="5" t="s">
        <v>61</v>
      </c>
      <c r="C61" s="13">
        <v>14080</v>
      </c>
      <c r="D61" s="14">
        <v>240898</v>
      </c>
      <c r="E61" s="13">
        <v>186586</v>
      </c>
      <c r="F61" s="15">
        <v>46304</v>
      </c>
      <c r="G61" s="13">
        <v>27987</v>
      </c>
      <c r="H61" s="15">
        <v>191379</v>
      </c>
      <c r="I61" s="13">
        <f>10130+37296</f>
        <v>47426</v>
      </c>
      <c r="J61" s="14">
        <v>236008</v>
      </c>
      <c r="K61" s="13">
        <f>33070+25394</f>
        <v>58464</v>
      </c>
      <c r="L61" s="14">
        <v>163347</v>
      </c>
      <c r="M61" s="13">
        <f>78881+66110</f>
        <v>144991</v>
      </c>
      <c r="N61" s="14">
        <f>772771+11868</f>
        <v>784639</v>
      </c>
      <c r="O61" s="13">
        <f>775098+29465</f>
        <v>804563</v>
      </c>
      <c r="P61" s="14">
        <f>389809+1</f>
        <v>389810</v>
      </c>
      <c r="Q61" s="13">
        <f>473165+196</f>
        <v>473361</v>
      </c>
      <c r="R61" s="14">
        <f>77957+860426</f>
        <v>938383</v>
      </c>
      <c r="S61" s="13">
        <f>123+773594</f>
        <v>773717</v>
      </c>
      <c r="T61" s="14">
        <f>9637+320137</f>
        <v>329774</v>
      </c>
    </row>
    <row r="62" spans="2:20" x14ac:dyDescent="0.25">
      <c r="B62" s="5" t="s">
        <v>62</v>
      </c>
      <c r="C62" s="13">
        <v>0</v>
      </c>
      <c r="D62" s="14">
        <v>0</v>
      </c>
      <c r="E62" s="13">
        <v>0</v>
      </c>
      <c r="F62" s="15">
        <v>0</v>
      </c>
      <c r="G62" s="13">
        <v>0</v>
      </c>
      <c r="H62" s="15">
        <v>0</v>
      </c>
      <c r="I62" s="13">
        <v>0</v>
      </c>
      <c r="J62" s="14">
        <v>0</v>
      </c>
      <c r="K62" s="13">
        <v>0</v>
      </c>
      <c r="L62" s="14">
        <v>0</v>
      </c>
      <c r="M62" s="13">
        <v>0</v>
      </c>
      <c r="N62" s="14">
        <v>0</v>
      </c>
      <c r="O62" s="13">
        <v>0</v>
      </c>
      <c r="P62" s="14">
        <v>257460</v>
      </c>
      <c r="Q62" s="13">
        <v>0</v>
      </c>
      <c r="R62" s="14">
        <v>403460</v>
      </c>
      <c r="S62" s="13">
        <v>0</v>
      </c>
      <c r="T62" s="14">
        <v>0</v>
      </c>
    </row>
    <row r="63" spans="2:20" x14ac:dyDescent="0.25">
      <c r="B63" s="5" t="s">
        <v>52</v>
      </c>
      <c r="C63" s="13">
        <v>0</v>
      </c>
      <c r="D63" s="14">
        <v>0</v>
      </c>
      <c r="E63" s="13">
        <v>0</v>
      </c>
      <c r="F63" s="15">
        <v>0</v>
      </c>
      <c r="G63" s="13">
        <v>0</v>
      </c>
      <c r="H63" s="15">
        <v>0</v>
      </c>
      <c r="I63" s="13">
        <v>0</v>
      </c>
      <c r="J63" s="14">
        <v>0</v>
      </c>
      <c r="K63" s="13">
        <v>0</v>
      </c>
      <c r="L63" s="14">
        <v>0</v>
      </c>
      <c r="M63" s="13">
        <v>0</v>
      </c>
      <c r="N63" s="14">
        <v>0</v>
      </c>
      <c r="O63" s="13">
        <v>0</v>
      </c>
      <c r="P63" s="14">
        <v>0</v>
      </c>
      <c r="Q63" s="13">
        <v>0</v>
      </c>
      <c r="R63" s="14">
        <v>0</v>
      </c>
      <c r="S63" s="13">
        <v>1356</v>
      </c>
      <c r="T63" s="14">
        <v>1356</v>
      </c>
    </row>
    <row r="64" spans="2:20" x14ac:dyDescent="0.25">
      <c r="B64" s="5" t="s">
        <v>63</v>
      </c>
      <c r="C64" s="13">
        <v>2840686</v>
      </c>
      <c r="D64" s="14">
        <v>0</v>
      </c>
      <c r="E64" s="13">
        <v>0</v>
      </c>
      <c r="F64" s="15">
        <v>0</v>
      </c>
      <c r="G64" s="13">
        <v>0</v>
      </c>
      <c r="H64" s="15">
        <v>0</v>
      </c>
      <c r="I64" s="13">
        <v>0</v>
      </c>
      <c r="J64" s="14">
        <v>0</v>
      </c>
      <c r="K64" s="13">
        <v>0</v>
      </c>
      <c r="L64" s="14">
        <v>0</v>
      </c>
      <c r="M64" s="13">
        <v>0</v>
      </c>
      <c r="N64" s="14">
        <v>0</v>
      </c>
      <c r="O64" s="13">
        <v>0</v>
      </c>
      <c r="P64" s="14">
        <v>0</v>
      </c>
      <c r="Q64" s="13">
        <v>0</v>
      </c>
      <c r="R64" s="14">
        <v>0</v>
      </c>
      <c r="S64" s="13">
        <v>0</v>
      </c>
      <c r="T64" s="14">
        <v>0</v>
      </c>
    </row>
    <row r="65" spans="2:20" x14ac:dyDescent="0.25">
      <c r="B65" s="17" t="s">
        <v>64</v>
      </c>
      <c r="C65" s="18">
        <f t="shared" ref="C65:Q65" si="7">SUM(C54:C64)</f>
        <v>8350368</v>
      </c>
      <c r="D65" s="19">
        <f t="shared" si="7"/>
        <v>3231349</v>
      </c>
      <c r="E65" s="18">
        <f t="shared" si="7"/>
        <v>1565140</v>
      </c>
      <c r="F65" s="24">
        <f t="shared" si="7"/>
        <v>880456</v>
      </c>
      <c r="G65" s="18">
        <f t="shared" si="7"/>
        <v>690622</v>
      </c>
      <c r="H65" s="24">
        <f t="shared" si="7"/>
        <v>1280882</v>
      </c>
      <c r="I65" s="18">
        <f t="shared" si="7"/>
        <v>1358336</v>
      </c>
      <c r="J65" s="19">
        <f t="shared" si="7"/>
        <v>2897705</v>
      </c>
      <c r="K65" s="18">
        <f t="shared" si="7"/>
        <v>3706725</v>
      </c>
      <c r="L65" s="19">
        <f t="shared" si="7"/>
        <v>6356691</v>
      </c>
      <c r="M65" s="18">
        <f t="shared" si="7"/>
        <v>5766763</v>
      </c>
      <c r="N65" s="19">
        <f t="shared" si="7"/>
        <v>5182290</v>
      </c>
      <c r="O65" s="18">
        <f t="shared" si="7"/>
        <v>3742469</v>
      </c>
      <c r="P65" s="19">
        <f t="shared" si="7"/>
        <v>6314883</v>
      </c>
      <c r="Q65" s="18">
        <f t="shared" si="7"/>
        <v>9852536</v>
      </c>
      <c r="R65" s="19">
        <f>SUM(R54:R64)</f>
        <v>12910213</v>
      </c>
      <c r="S65" s="18">
        <f>SUM(S54:S64)</f>
        <v>6972487</v>
      </c>
      <c r="T65" s="19">
        <f>SUM(T54:T64)</f>
        <v>3899646</v>
      </c>
    </row>
    <row r="66" spans="2:20" x14ac:dyDescent="0.25">
      <c r="C66" s="13"/>
      <c r="D66" s="14"/>
      <c r="E66" s="13"/>
      <c r="F66" s="15"/>
      <c r="G66" s="13"/>
      <c r="H66" s="15"/>
      <c r="I66" s="13"/>
      <c r="J66" s="14"/>
      <c r="K66" s="13"/>
      <c r="L66" s="14"/>
      <c r="M66" s="13"/>
      <c r="N66" s="14"/>
      <c r="O66" s="13"/>
      <c r="P66" s="14"/>
      <c r="Q66" s="13"/>
      <c r="R66" s="14"/>
      <c r="S66" s="13"/>
      <c r="T66" s="14"/>
    </row>
    <row r="67" spans="2:20" x14ac:dyDescent="0.25">
      <c r="B67" s="20" t="s">
        <v>65</v>
      </c>
      <c r="C67" s="29">
        <f t="shared" ref="C67:O67" si="8">+C52+C65</f>
        <v>8350368</v>
      </c>
      <c r="D67" s="30">
        <f t="shared" si="8"/>
        <v>3578223</v>
      </c>
      <c r="E67" s="29">
        <f t="shared" si="8"/>
        <v>1694081</v>
      </c>
      <c r="F67" s="31">
        <f t="shared" si="8"/>
        <v>2064296</v>
      </c>
      <c r="G67" s="29">
        <f t="shared" si="8"/>
        <v>3558847</v>
      </c>
      <c r="H67" s="31">
        <f t="shared" si="8"/>
        <v>4949912</v>
      </c>
      <c r="I67" s="29">
        <f t="shared" si="8"/>
        <v>4635550</v>
      </c>
      <c r="J67" s="30">
        <f t="shared" si="8"/>
        <v>4970879</v>
      </c>
      <c r="K67" s="29">
        <f t="shared" si="8"/>
        <v>4909938</v>
      </c>
      <c r="L67" s="30">
        <f t="shared" si="8"/>
        <v>8089022</v>
      </c>
      <c r="M67" s="29">
        <f t="shared" si="8"/>
        <v>11054629</v>
      </c>
      <c r="N67" s="30">
        <f t="shared" si="8"/>
        <v>10179944</v>
      </c>
      <c r="O67" s="29">
        <f t="shared" si="8"/>
        <v>9806091</v>
      </c>
      <c r="P67" s="30">
        <f>+P52+P65</f>
        <v>15398369</v>
      </c>
      <c r="Q67" s="29">
        <f>+Q52+Q65</f>
        <v>16101186</v>
      </c>
      <c r="R67" s="30">
        <f>+R52+R65</f>
        <v>17084249</v>
      </c>
      <c r="S67" s="29">
        <f>+S52+S65</f>
        <v>13225876</v>
      </c>
      <c r="T67" s="30">
        <f>+T52+T65</f>
        <v>15996372</v>
      </c>
    </row>
    <row r="68" spans="2:20" x14ac:dyDescent="0.25">
      <c r="C68" s="21"/>
      <c r="D68" s="22"/>
      <c r="E68" s="21"/>
      <c r="F68" s="23"/>
      <c r="G68" s="21"/>
      <c r="H68" s="23"/>
      <c r="I68" s="21"/>
      <c r="J68" s="22"/>
      <c r="K68" s="21"/>
      <c r="L68" s="22"/>
      <c r="M68" s="21"/>
      <c r="N68" s="22"/>
      <c r="O68" s="21"/>
      <c r="P68" s="22"/>
      <c r="Q68" s="21"/>
      <c r="R68" s="22"/>
      <c r="S68" s="21"/>
      <c r="T68" s="22"/>
    </row>
    <row r="69" spans="2:20" ht="12" thickBot="1" x14ac:dyDescent="0.3">
      <c r="B69" s="25" t="s">
        <v>66</v>
      </c>
      <c r="C69" s="26">
        <f t="shared" ref="C69:T69" si="9">+C67+C45</f>
        <v>12221110</v>
      </c>
      <c r="D69" s="27">
        <f t="shared" si="9"/>
        <v>5944949</v>
      </c>
      <c r="E69" s="26">
        <f t="shared" si="9"/>
        <v>4118463</v>
      </c>
      <c r="F69" s="28">
        <f t="shared" si="9"/>
        <v>5578144</v>
      </c>
      <c r="G69" s="26">
        <f t="shared" si="9"/>
        <v>7246277</v>
      </c>
      <c r="H69" s="28">
        <f t="shared" si="9"/>
        <v>10952766</v>
      </c>
      <c r="I69" s="26">
        <f t="shared" si="9"/>
        <v>11554926</v>
      </c>
      <c r="J69" s="27">
        <f t="shared" si="9"/>
        <v>14035540</v>
      </c>
      <c r="K69" s="26">
        <f t="shared" si="9"/>
        <v>13479624</v>
      </c>
      <c r="L69" s="27">
        <f t="shared" si="9"/>
        <v>19875039</v>
      </c>
      <c r="M69" s="26">
        <f t="shared" si="9"/>
        <v>24052301</v>
      </c>
      <c r="N69" s="27">
        <f t="shared" si="9"/>
        <v>28887182</v>
      </c>
      <c r="O69" s="26">
        <f t="shared" si="9"/>
        <v>35731019</v>
      </c>
      <c r="P69" s="27">
        <f t="shared" si="9"/>
        <v>42672836</v>
      </c>
      <c r="Q69" s="26">
        <f t="shared" si="9"/>
        <v>51141353</v>
      </c>
      <c r="R69" s="27">
        <f t="shared" si="9"/>
        <v>56785756</v>
      </c>
      <c r="S69" s="26">
        <f t="shared" si="9"/>
        <v>49721645</v>
      </c>
      <c r="T69" s="27">
        <f t="shared" si="9"/>
        <v>58762478</v>
      </c>
    </row>
    <row r="70" spans="2:20" ht="12" thickTop="1" x14ac:dyDescent="0.25">
      <c r="C70" s="21"/>
      <c r="D70" s="22"/>
      <c r="E70" s="21"/>
      <c r="F70" s="23"/>
      <c r="G70" s="21"/>
      <c r="H70" s="23"/>
      <c r="I70" s="21"/>
      <c r="J70" s="22"/>
      <c r="K70" s="21"/>
      <c r="L70" s="22"/>
      <c r="M70" s="21"/>
      <c r="N70" s="22"/>
      <c r="O70" s="21"/>
      <c r="P70" s="22"/>
      <c r="Q70" s="21"/>
      <c r="R70" s="22"/>
      <c r="S70" s="21"/>
      <c r="T70" s="22"/>
    </row>
    <row r="71" spans="2:20" x14ac:dyDescent="0.25">
      <c r="B71" s="5" t="s">
        <v>67</v>
      </c>
      <c r="C71" s="21">
        <f t="shared" ref="C71:T71" si="10">+C35-C69</f>
        <v>-5187469</v>
      </c>
      <c r="D71" s="22">
        <f t="shared" si="10"/>
        <v>0</v>
      </c>
      <c r="E71" s="21">
        <f t="shared" si="10"/>
        <v>0</v>
      </c>
      <c r="F71" s="23">
        <f t="shared" si="10"/>
        <v>0</v>
      </c>
      <c r="G71" s="21">
        <f t="shared" si="10"/>
        <v>0</v>
      </c>
      <c r="H71" s="23">
        <f t="shared" si="10"/>
        <v>0</v>
      </c>
      <c r="I71" s="21">
        <f t="shared" si="10"/>
        <v>0</v>
      </c>
      <c r="J71" s="22">
        <f t="shared" si="10"/>
        <v>0</v>
      </c>
      <c r="K71" s="21">
        <f t="shared" si="10"/>
        <v>0</v>
      </c>
      <c r="L71" s="22">
        <f t="shared" si="10"/>
        <v>0</v>
      </c>
      <c r="M71" s="21">
        <f t="shared" si="10"/>
        <v>0</v>
      </c>
      <c r="N71" s="22">
        <f t="shared" si="10"/>
        <v>0</v>
      </c>
      <c r="O71" s="21">
        <f t="shared" si="10"/>
        <v>0</v>
      </c>
      <c r="P71" s="22">
        <f t="shared" si="10"/>
        <v>0</v>
      </c>
      <c r="Q71" s="21">
        <f>+Q35-Q69</f>
        <v>0</v>
      </c>
      <c r="R71" s="22">
        <f t="shared" si="10"/>
        <v>0</v>
      </c>
      <c r="S71" s="21">
        <f t="shared" si="10"/>
        <v>0</v>
      </c>
      <c r="T71" s="22">
        <f t="shared" si="10"/>
        <v>0</v>
      </c>
    </row>
    <row r="72" spans="2:20" x14ac:dyDescent="0.25">
      <c r="C72" s="6"/>
      <c r="D72" s="7"/>
      <c r="E72" s="6"/>
      <c r="F72" s="8"/>
      <c r="G72" s="6"/>
      <c r="H72" s="8"/>
      <c r="I72" s="6"/>
      <c r="J72" s="7"/>
      <c r="K72" s="6"/>
      <c r="L72" s="7"/>
      <c r="M72" s="6"/>
      <c r="N72" s="7"/>
      <c r="O72" s="6"/>
      <c r="P72" s="7"/>
      <c r="Q72" s="6"/>
      <c r="R72" s="7"/>
      <c r="S72" s="6"/>
      <c r="T72" s="7"/>
    </row>
    <row r="73" spans="2:20" ht="18" customHeight="1" x14ac:dyDescent="0.25">
      <c r="C73" s="6"/>
      <c r="D73" s="7"/>
      <c r="E73" s="6"/>
      <c r="F73" s="8"/>
      <c r="G73" s="6"/>
      <c r="H73" s="8"/>
      <c r="I73" s="6"/>
      <c r="J73" s="7"/>
      <c r="K73" s="6"/>
      <c r="L73" s="7"/>
      <c r="M73" s="6"/>
      <c r="N73" s="7"/>
      <c r="O73" s="6"/>
      <c r="P73" s="7"/>
      <c r="Q73" s="6"/>
      <c r="R73" s="7"/>
      <c r="S73" s="6"/>
      <c r="T73" s="7"/>
    </row>
    <row r="74" spans="2:20" x14ac:dyDescent="0.25">
      <c r="C74" s="6"/>
      <c r="D74" s="7"/>
      <c r="E74" s="6"/>
      <c r="F74" s="8"/>
      <c r="G74" s="6"/>
      <c r="H74" s="8"/>
      <c r="I74" s="6"/>
      <c r="J74" s="7"/>
      <c r="K74" s="6"/>
      <c r="L74" s="7"/>
      <c r="M74" s="6"/>
      <c r="N74" s="7"/>
      <c r="O74" s="6"/>
      <c r="P74" s="7"/>
      <c r="Q74" s="6"/>
      <c r="R74" s="7"/>
      <c r="S74" s="6"/>
      <c r="T74" s="7"/>
    </row>
    <row r="75" spans="2:20" x14ac:dyDescent="0.25">
      <c r="C75" s="6"/>
      <c r="D75" s="7"/>
      <c r="E75" s="6"/>
      <c r="F75" s="8"/>
      <c r="G75" s="6"/>
      <c r="H75" s="8"/>
      <c r="I75" s="6"/>
      <c r="J75" s="7"/>
      <c r="K75" s="6"/>
      <c r="L75" s="7"/>
      <c r="M75" s="6"/>
      <c r="N75" s="7"/>
      <c r="O75" s="6"/>
      <c r="P75" s="7"/>
      <c r="Q75" s="6"/>
      <c r="R75" s="7"/>
      <c r="S75" s="6"/>
      <c r="T75" s="7"/>
    </row>
    <row r="76" spans="2:20" x14ac:dyDescent="0.25">
      <c r="C76" s="6"/>
      <c r="D76" s="7"/>
      <c r="E76" s="6"/>
      <c r="F76" s="8"/>
      <c r="G76" s="6"/>
      <c r="H76" s="8"/>
      <c r="I76" s="6"/>
      <c r="J76" s="7"/>
      <c r="K76" s="6"/>
      <c r="L76" s="7"/>
      <c r="M76" s="6"/>
      <c r="N76" s="7"/>
      <c r="O76" s="6"/>
      <c r="P76" s="7"/>
      <c r="Q76" s="6"/>
      <c r="R76" s="7"/>
      <c r="S76" s="6"/>
      <c r="T76" s="7"/>
    </row>
  </sheetData>
  <pageMargins left="0.7" right="0.7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3"/>
  <sheetViews>
    <sheetView showGridLines="0" zoomScale="80" zoomScaleNormal="80" workbookViewId="0">
      <pane xSplit="2" ySplit="1" topLeftCell="C2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4.5" outlineLevelCol="1" x14ac:dyDescent="0.35"/>
  <cols>
    <col min="1" max="1" width="3.1796875" customWidth="1"/>
    <col min="2" max="2" width="51.453125" customWidth="1"/>
    <col min="3" max="3" width="8.7265625" hidden="1" customWidth="1" outlineLevel="1"/>
    <col min="4" max="4" width="10.54296875" customWidth="1" collapsed="1"/>
    <col min="5" max="5" width="10.54296875" hidden="1" customWidth="1" outlineLevel="1"/>
    <col min="6" max="6" width="9.26953125" customWidth="1" collapsed="1"/>
    <col min="7" max="7" width="8.7265625" hidden="1" customWidth="1" outlineLevel="1"/>
    <col min="8" max="8" width="10" customWidth="1" collapsed="1"/>
    <col min="9" max="9" width="8.7265625" hidden="1" customWidth="1" outlineLevel="1"/>
    <col min="10" max="10" width="9.7265625" customWidth="1" collapsed="1"/>
    <col min="11" max="11" width="8.7265625" hidden="1" customWidth="1" outlineLevel="1"/>
    <col min="12" max="12" width="9.7265625" customWidth="1" collapsed="1"/>
    <col min="13" max="13" width="8.7265625" hidden="1" customWidth="1" outlineLevel="1"/>
    <col min="14" max="14" width="10" customWidth="1" collapsed="1"/>
    <col min="15" max="15" width="8.7265625" hidden="1" customWidth="1" outlineLevel="1"/>
    <col min="16" max="16" width="9.54296875" customWidth="1" collapsed="1"/>
    <col min="17" max="17" width="9" hidden="1" customWidth="1" outlineLevel="1"/>
    <col min="18" max="18" width="11" customWidth="1" collapsed="1"/>
    <col min="19" max="19" width="12.453125" hidden="1" customWidth="1" outlineLevel="1"/>
    <col min="20" max="20" width="11" customWidth="1" collapsed="1"/>
  </cols>
  <sheetData>
    <row r="1" spans="2:20" s="4" customFormat="1" ht="21" customHeight="1" x14ac:dyDescent="0.35">
      <c r="B1" s="1"/>
      <c r="C1" s="2" t="s">
        <v>0</v>
      </c>
      <c r="D1" s="3">
        <v>2016</v>
      </c>
      <c r="E1" s="2" t="s">
        <v>1</v>
      </c>
      <c r="F1" s="1">
        <v>2017</v>
      </c>
      <c r="G1" s="2" t="s">
        <v>2</v>
      </c>
      <c r="H1" s="1">
        <v>2018</v>
      </c>
      <c r="I1" s="2" t="s">
        <v>3</v>
      </c>
      <c r="J1" s="3">
        <v>2019</v>
      </c>
      <c r="K1" s="2" t="s">
        <v>4</v>
      </c>
      <c r="L1" s="3">
        <v>2020</v>
      </c>
      <c r="M1" s="2" t="s">
        <v>5</v>
      </c>
      <c r="N1" s="3">
        <v>2021</v>
      </c>
      <c r="O1" s="2" t="s">
        <v>6</v>
      </c>
      <c r="P1" s="3">
        <v>2022</v>
      </c>
      <c r="Q1" s="2" t="s">
        <v>7</v>
      </c>
      <c r="R1" s="3">
        <v>2023</v>
      </c>
      <c r="S1" s="2" t="s">
        <v>8</v>
      </c>
      <c r="T1" s="3">
        <v>2024</v>
      </c>
    </row>
    <row r="3" spans="2:20" s="5" customFormat="1" ht="18" x14ac:dyDescent="0.4">
      <c r="B3" s="9" t="s">
        <v>68</v>
      </c>
      <c r="C3" s="10"/>
      <c r="D3" s="11"/>
      <c r="E3" s="10"/>
      <c r="F3" s="12"/>
      <c r="G3" s="10"/>
      <c r="H3" s="12"/>
      <c r="I3" s="10"/>
      <c r="J3" s="11"/>
      <c r="K3" s="10"/>
      <c r="L3" s="11"/>
      <c r="M3" s="10"/>
      <c r="N3" s="11"/>
      <c r="O3" s="10"/>
      <c r="P3" s="11"/>
      <c r="Q3" s="10"/>
      <c r="R3" s="11"/>
      <c r="S3" s="10"/>
      <c r="T3" s="11"/>
    </row>
    <row r="4" spans="2:20" s="5" customFormat="1" ht="11.5" x14ac:dyDescent="0.25">
      <c r="B4" s="5" t="s">
        <v>10</v>
      </c>
      <c r="C4" s="6"/>
      <c r="D4" s="7"/>
      <c r="E4" s="6"/>
      <c r="F4" s="8"/>
      <c r="G4" s="6"/>
      <c r="H4" s="8"/>
      <c r="I4" s="6"/>
      <c r="J4" s="7"/>
      <c r="K4" s="6"/>
      <c r="L4" s="7"/>
      <c r="M4" s="6"/>
      <c r="N4" s="7"/>
      <c r="O4" s="6"/>
      <c r="P4" s="7"/>
      <c r="Q4" s="6"/>
      <c r="R4" s="7"/>
      <c r="S4" s="6"/>
      <c r="T4" s="7"/>
    </row>
    <row r="5" spans="2:20" s="5" customFormat="1" ht="11.5" x14ac:dyDescent="0.25">
      <c r="C5" s="6"/>
      <c r="D5" s="33"/>
      <c r="E5" s="6"/>
      <c r="F5" s="34"/>
      <c r="G5" s="6"/>
      <c r="H5" s="34"/>
      <c r="I5" s="6"/>
      <c r="J5" s="33"/>
      <c r="K5" s="6"/>
      <c r="L5" s="33"/>
      <c r="M5" s="6"/>
      <c r="N5" s="33"/>
      <c r="O5" s="6"/>
      <c r="P5" s="33"/>
      <c r="Q5" s="6"/>
      <c r="R5" s="33"/>
      <c r="S5" s="6"/>
      <c r="T5" s="33"/>
    </row>
    <row r="6" spans="2:20" s="20" customFormat="1" ht="11.5" x14ac:dyDescent="0.25">
      <c r="B6" s="20" t="s">
        <v>69</v>
      </c>
      <c r="C6" s="29">
        <v>295784</v>
      </c>
      <c r="D6" s="30">
        <v>2475528</v>
      </c>
      <c r="E6" s="29">
        <v>3343353</v>
      </c>
      <c r="F6" s="31">
        <v>5022087</v>
      </c>
      <c r="G6" s="29">
        <v>304747</v>
      </c>
      <c r="H6" s="31">
        <v>3211572</v>
      </c>
      <c r="I6" s="29">
        <v>4853687</v>
      </c>
      <c r="J6" s="30">
        <v>8798302</v>
      </c>
      <c r="K6" s="29">
        <v>5255009</v>
      </c>
      <c r="L6" s="30">
        <v>8335917</v>
      </c>
      <c r="M6" s="29">
        <v>6717783</v>
      </c>
      <c r="N6" s="30">
        <v>15904080</v>
      </c>
      <c r="O6" s="29">
        <v>14311107</v>
      </c>
      <c r="P6" s="30">
        <v>23500965</v>
      </c>
      <c r="Q6" s="29">
        <v>12913154</v>
      </c>
      <c r="R6" s="30">
        <v>28480217</v>
      </c>
      <c r="S6" s="29">
        <v>18266213</v>
      </c>
      <c r="T6" s="30">
        <v>31545568</v>
      </c>
    </row>
    <row r="7" spans="2:20" s="5" customFormat="1" ht="11.5" x14ac:dyDescent="0.25">
      <c r="B7" s="5" t="s">
        <v>70</v>
      </c>
      <c r="C7" s="13">
        <v>66391</v>
      </c>
      <c r="D7" s="14">
        <v>2014027</v>
      </c>
      <c r="E7" s="13">
        <v>3179159</v>
      </c>
      <c r="F7" s="15">
        <v>4352456</v>
      </c>
      <c r="G7" s="13">
        <v>671</v>
      </c>
      <c r="H7" s="15">
        <v>899940</v>
      </c>
      <c r="I7" s="13">
        <v>3585067</v>
      </c>
      <c r="J7" s="14">
        <v>5445744</v>
      </c>
      <c r="K7" s="13">
        <v>3103816</v>
      </c>
      <c r="L7" s="14">
        <v>4919818</v>
      </c>
      <c r="M7" s="13">
        <v>4213613</v>
      </c>
      <c r="N7" s="14">
        <v>11508306</v>
      </c>
      <c r="O7" s="13">
        <v>11344294</v>
      </c>
      <c r="P7" s="14">
        <v>18539431</v>
      </c>
      <c r="Q7" s="13">
        <v>7609500</v>
      </c>
      <c r="R7" s="14">
        <v>19556211</v>
      </c>
      <c r="S7" s="13">
        <v>12372535</v>
      </c>
      <c r="T7" s="14">
        <v>19701176</v>
      </c>
    </row>
    <row r="8" spans="2:20" s="5" customFormat="1" ht="11.5" x14ac:dyDescent="0.25">
      <c r="B8" s="5" t="s">
        <v>71</v>
      </c>
      <c r="C8" s="13">
        <v>191923</v>
      </c>
      <c r="D8" s="14">
        <v>398514</v>
      </c>
      <c r="E8" s="13">
        <v>118449</v>
      </c>
      <c r="F8" s="15">
        <v>539948</v>
      </c>
      <c r="G8" s="13">
        <v>254842</v>
      </c>
      <c r="H8" s="15">
        <v>2227660</v>
      </c>
      <c r="I8" s="13">
        <v>1250428</v>
      </c>
      <c r="J8" s="14">
        <v>3311883</v>
      </c>
      <c r="K8" s="13">
        <v>2127344</v>
      </c>
      <c r="L8" s="14">
        <v>3311577</v>
      </c>
      <c r="M8" s="13">
        <v>2402891</v>
      </c>
      <c r="N8" s="14">
        <v>4218147</v>
      </c>
      <c r="O8" s="13">
        <v>2814511</v>
      </c>
      <c r="P8" s="14">
        <v>4696252</v>
      </c>
      <c r="Q8" s="13">
        <v>5015968</v>
      </c>
      <c r="R8" s="14">
        <v>8245438</v>
      </c>
      <c r="S8" s="13">
        <v>5462004</v>
      </c>
      <c r="T8" s="14">
        <v>10878868</v>
      </c>
    </row>
    <row r="9" spans="2:20" s="5" customFormat="1" ht="11.5" x14ac:dyDescent="0.25">
      <c r="B9" s="5" t="s">
        <v>72</v>
      </c>
      <c r="C9" s="13">
        <v>33402</v>
      </c>
      <c r="D9" s="14">
        <v>57066</v>
      </c>
      <c r="E9" s="13">
        <v>39714</v>
      </c>
      <c r="F9" s="15">
        <v>117739</v>
      </c>
      <c r="G9" s="13">
        <v>43971</v>
      </c>
      <c r="H9" s="15">
        <v>65911</v>
      </c>
      <c r="I9" s="13">
        <v>2760</v>
      </c>
      <c r="J9" s="14">
        <v>20782</v>
      </c>
      <c r="K9" s="13">
        <v>19235</v>
      </c>
      <c r="L9" s="14">
        <v>74960</v>
      </c>
      <c r="M9" s="13">
        <v>65667</v>
      </c>
      <c r="N9" s="14">
        <v>92942</v>
      </c>
      <c r="O9" s="13">
        <v>77046</v>
      </c>
      <c r="P9" s="14">
        <v>90485</v>
      </c>
      <c r="Q9" s="13">
        <v>66364</v>
      </c>
      <c r="R9" s="14">
        <v>120985</v>
      </c>
      <c r="S9" s="13">
        <v>22035</v>
      </c>
      <c r="T9" s="14">
        <v>92361</v>
      </c>
    </row>
    <row r="10" spans="2:20" s="5" customFormat="1" ht="11.5" x14ac:dyDescent="0.25">
      <c r="B10" s="5" t="s">
        <v>73</v>
      </c>
      <c r="C10" s="13">
        <v>4068</v>
      </c>
      <c r="D10" s="14">
        <v>5921</v>
      </c>
      <c r="E10" s="13">
        <v>6031</v>
      </c>
      <c r="F10" s="15">
        <v>11944</v>
      </c>
      <c r="G10" s="13">
        <v>5263</v>
      </c>
      <c r="H10" s="15">
        <v>18061</v>
      </c>
      <c r="I10" s="13">
        <v>15432</v>
      </c>
      <c r="J10" s="14">
        <v>19893</v>
      </c>
      <c r="K10" s="13">
        <f>+K6-K7-K8-K9</f>
        <v>4614</v>
      </c>
      <c r="L10" s="14">
        <v>29562</v>
      </c>
      <c r="M10" s="13">
        <f>+M6-M7-M8-M9</f>
        <v>35612</v>
      </c>
      <c r="N10" s="14">
        <v>84685</v>
      </c>
      <c r="O10" s="13">
        <v>75256</v>
      </c>
      <c r="P10" s="14">
        <v>174797</v>
      </c>
      <c r="Q10" s="13">
        <v>221322</v>
      </c>
      <c r="R10" s="14">
        <v>557583</v>
      </c>
      <c r="S10" s="13">
        <v>409639</v>
      </c>
      <c r="T10" s="14">
        <f>581841+291322</f>
        <v>873163</v>
      </c>
    </row>
    <row r="11" spans="2:20" s="5" customFormat="1" ht="11.5" x14ac:dyDescent="0.25">
      <c r="C11" s="13"/>
      <c r="D11" s="14"/>
      <c r="E11" s="13"/>
      <c r="F11" s="15"/>
      <c r="G11" s="13"/>
      <c r="H11" s="15"/>
      <c r="I11" s="13"/>
      <c r="J11" s="14"/>
      <c r="K11" s="13"/>
      <c r="L11" s="14"/>
      <c r="M11" s="13"/>
      <c r="N11" s="14"/>
      <c r="O11" s="13"/>
      <c r="P11" s="14"/>
      <c r="Q11" s="13"/>
      <c r="R11" s="14"/>
      <c r="S11" s="13"/>
      <c r="T11" s="14"/>
    </row>
    <row r="12" spans="2:20" s="20" customFormat="1" ht="11.5" x14ac:dyDescent="0.25">
      <c r="B12" s="20" t="s">
        <v>74</v>
      </c>
      <c r="C12" s="29">
        <v>-394064</v>
      </c>
      <c r="D12" s="30">
        <v>-1381260</v>
      </c>
      <c r="E12" s="29">
        <v>-2932981</v>
      </c>
      <c r="F12" s="31">
        <v>-4132312</v>
      </c>
      <c r="G12" s="29">
        <v>-304120</v>
      </c>
      <c r="H12" s="31">
        <v>-2202543</v>
      </c>
      <c r="I12" s="29">
        <v>-2610338</v>
      </c>
      <c r="J12" s="30">
        <v>-4841921</v>
      </c>
      <c r="K12" s="29">
        <v>-2967889</v>
      </c>
      <c r="L12" s="30">
        <v>-4996862</v>
      </c>
      <c r="M12" s="29">
        <v>-4090732</v>
      </c>
      <c r="N12" s="30">
        <v>-8844371</v>
      </c>
      <c r="O12" s="29">
        <v>-5537084</v>
      </c>
      <c r="P12" s="30">
        <v>-9775328</v>
      </c>
      <c r="Q12" s="29">
        <v>-5979588</v>
      </c>
      <c r="R12" s="30">
        <v>-13467257</v>
      </c>
      <c r="S12" s="29">
        <v>-8690792</v>
      </c>
      <c r="T12" s="30">
        <v>-15375731</v>
      </c>
    </row>
    <row r="13" spans="2:20" s="5" customFormat="1" ht="11.5" x14ac:dyDescent="0.25">
      <c r="B13" s="35" t="s">
        <v>75</v>
      </c>
      <c r="C13" s="13"/>
      <c r="D13" s="14">
        <v>-54623</v>
      </c>
      <c r="E13" s="13">
        <v>-1240841</v>
      </c>
      <c r="F13" s="15">
        <v>-1514422</v>
      </c>
      <c r="G13" s="13">
        <v>-115550</v>
      </c>
      <c r="H13" s="15">
        <v>-189708</v>
      </c>
      <c r="I13" s="13">
        <v>0</v>
      </c>
      <c r="J13" s="14">
        <v>0</v>
      </c>
      <c r="K13" s="13">
        <v>0</v>
      </c>
      <c r="L13" s="14">
        <v>0</v>
      </c>
      <c r="M13" s="13">
        <v>0</v>
      </c>
      <c r="N13" s="14">
        <v>0</v>
      </c>
      <c r="O13" s="13">
        <v>0</v>
      </c>
      <c r="P13" s="14">
        <v>0</v>
      </c>
      <c r="Q13" s="13">
        <v>0</v>
      </c>
      <c r="R13" s="14">
        <v>0</v>
      </c>
      <c r="S13" s="13">
        <v>0</v>
      </c>
      <c r="T13" s="14">
        <v>0</v>
      </c>
    </row>
    <row r="14" spans="2:20" s="5" customFormat="1" ht="11.5" x14ac:dyDescent="0.25">
      <c r="B14" s="5" t="s">
        <v>76</v>
      </c>
      <c r="C14" s="13"/>
      <c r="D14" s="14">
        <f>-1116197-D13</f>
        <v>-1061574</v>
      </c>
      <c r="E14" s="13">
        <v>-1142809</v>
      </c>
      <c r="F14" s="15">
        <f>-3205031-F13</f>
        <v>-1690609</v>
      </c>
      <c r="G14" s="13">
        <f>-253269-G13</f>
        <v>-137719</v>
      </c>
      <c r="H14" s="15">
        <f>-1546040-H13</f>
        <v>-1356332</v>
      </c>
      <c r="I14" s="13">
        <v>-1524214</v>
      </c>
      <c r="J14" s="14">
        <v>-3141432</v>
      </c>
      <c r="K14" s="13">
        <v>-2056788</v>
      </c>
      <c r="L14" s="14">
        <v>-3487394</v>
      </c>
      <c r="M14" s="13">
        <v>-3018713</v>
      </c>
      <c r="N14" s="14">
        <v>-6317638</v>
      </c>
      <c r="O14" s="13">
        <v>-3889868</v>
      </c>
      <c r="P14" s="14">
        <v>-6751955</v>
      </c>
      <c r="Q14" s="13">
        <v>-3929372</v>
      </c>
      <c r="R14" s="14">
        <v>-8793235</v>
      </c>
      <c r="S14" s="13">
        <v>-5653753</v>
      </c>
      <c r="T14" s="14">
        <v>-9735564</v>
      </c>
    </row>
    <row r="15" spans="2:20" s="5" customFormat="1" ht="11.5" x14ac:dyDescent="0.25">
      <c r="B15" s="5" t="s">
        <v>77</v>
      </c>
      <c r="C15" s="13"/>
      <c r="D15" s="14">
        <v>-110565</v>
      </c>
      <c r="E15" s="13">
        <v>-266930</v>
      </c>
      <c r="F15" s="15">
        <v>-487314</v>
      </c>
      <c r="G15" s="13">
        <v>-16600</v>
      </c>
      <c r="H15" s="15">
        <v>-375316</v>
      </c>
      <c r="I15" s="13">
        <v>-710648</v>
      </c>
      <c r="J15" s="14">
        <v>-951069</v>
      </c>
      <c r="K15" s="13">
        <v>-478981</v>
      </c>
      <c r="L15" s="14">
        <v>-714981</v>
      </c>
      <c r="M15" s="13">
        <v>-369122</v>
      </c>
      <c r="N15" s="14">
        <v>-1136988</v>
      </c>
      <c r="O15" s="13">
        <v>-815806</v>
      </c>
      <c r="P15" s="14">
        <v>-1473324</v>
      </c>
      <c r="Q15" s="13">
        <v>-1038009</v>
      </c>
      <c r="R15" s="14">
        <v>-2146400</v>
      </c>
      <c r="S15" s="13">
        <v>-1443472</v>
      </c>
      <c r="T15" s="14">
        <v>-2847109</v>
      </c>
    </row>
    <row r="16" spans="2:20" s="5" customFormat="1" ht="11.5" x14ac:dyDescent="0.25">
      <c r="B16" s="5" t="s">
        <v>78</v>
      </c>
      <c r="C16" s="13"/>
      <c r="D16" s="14">
        <v>-73889</v>
      </c>
      <c r="E16" s="13">
        <v>-132450</v>
      </c>
      <c r="F16" s="15">
        <v>-214293</v>
      </c>
      <c r="G16" s="13">
        <v>-15097</v>
      </c>
      <c r="H16" s="15">
        <v>-128006</v>
      </c>
      <c r="I16" s="13">
        <v>-197070</v>
      </c>
      <c r="J16" s="14">
        <v>-343356</v>
      </c>
      <c r="K16" s="13">
        <v>-218698</v>
      </c>
      <c r="L16" s="14">
        <v>-359033</v>
      </c>
      <c r="M16" s="13">
        <v>-344204</v>
      </c>
      <c r="N16" s="14">
        <v>-656617</v>
      </c>
      <c r="O16" s="13">
        <v>-399575</v>
      </c>
      <c r="P16" s="14">
        <v>-668887</v>
      </c>
      <c r="Q16" s="13">
        <v>-487645</v>
      </c>
      <c r="R16" s="14">
        <v>-1369176</v>
      </c>
      <c r="S16" s="13">
        <v>-855487</v>
      </c>
      <c r="T16" s="14">
        <v>-1623582</v>
      </c>
    </row>
    <row r="17" spans="2:20" s="5" customFormat="1" ht="11.5" x14ac:dyDescent="0.25">
      <c r="B17" s="35" t="s">
        <v>79</v>
      </c>
      <c r="C17" s="13"/>
      <c r="D17" s="14">
        <v>-80609</v>
      </c>
      <c r="E17" s="13">
        <v>-149951</v>
      </c>
      <c r="F17" s="15">
        <v>-225674</v>
      </c>
      <c r="G17" s="13">
        <v>-19154</v>
      </c>
      <c r="H17" s="15">
        <v>-153181</v>
      </c>
      <c r="I17" s="13">
        <f>-171399-7007</f>
        <v>-178406</v>
      </c>
      <c r="J17" s="14">
        <f>-394026-12038</f>
        <v>-406064</v>
      </c>
      <c r="K17" s="13">
        <f>-206490-6932</f>
        <v>-213422</v>
      </c>
      <c r="L17" s="14">
        <f>-421217-14237</f>
        <v>-435454</v>
      </c>
      <c r="M17" s="13">
        <f>-352165-6528</f>
        <v>-358693</v>
      </c>
      <c r="N17" s="14">
        <f>-714926+-18202</f>
        <v>-733128</v>
      </c>
      <c r="O17" s="13">
        <f>-424092+-7743</f>
        <v>-431835</v>
      </c>
      <c r="P17" s="14">
        <f>-844661-36501</f>
        <v>-881162</v>
      </c>
      <c r="Q17" s="13">
        <f>-484278+-40284</f>
        <v>-524562</v>
      </c>
      <c r="R17" s="14">
        <v>-1158446</v>
      </c>
      <c r="S17" s="13">
        <f>-719128+-18952</f>
        <v>-738080</v>
      </c>
      <c r="T17" s="14">
        <v>-1169476</v>
      </c>
    </row>
    <row r="18" spans="2:20" s="5" customFormat="1" ht="11.5" x14ac:dyDescent="0.25">
      <c r="B18" s="35"/>
      <c r="C18" s="13"/>
      <c r="D18" s="14"/>
      <c r="E18" s="13"/>
      <c r="F18" s="15"/>
      <c r="G18" s="13"/>
      <c r="H18" s="15"/>
      <c r="I18" s="13"/>
      <c r="J18" s="14"/>
      <c r="K18" s="13"/>
      <c r="L18" s="14"/>
      <c r="M18" s="13"/>
      <c r="N18" s="14"/>
      <c r="O18" s="13"/>
      <c r="P18" s="14"/>
      <c r="Q18" s="13"/>
      <c r="R18" s="14"/>
      <c r="S18" s="13"/>
      <c r="T18" s="14"/>
    </row>
    <row r="19" spans="2:20" s="5" customFormat="1" ht="11.5" x14ac:dyDescent="0.25">
      <c r="C19" s="13"/>
      <c r="D19" s="14"/>
      <c r="E19" s="13"/>
      <c r="F19" s="15"/>
      <c r="G19" s="13"/>
      <c r="H19" s="15"/>
      <c r="I19" s="13"/>
      <c r="J19" s="14"/>
      <c r="K19" s="13"/>
      <c r="L19" s="14"/>
      <c r="M19" s="13"/>
      <c r="N19" s="14"/>
      <c r="O19" s="13"/>
      <c r="P19" s="14"/>
      <c r="Q19" s="13"/>
      <c r="R19" s="14"/>
      <c r="S19" s="13"/>
      <c r="T19" s="14"/>
    </row>
    <row r="20" spans="2:20" s="20" customFormat="1" ht="11.5" x14ac:dyDescent="0.25">
      <c r="B20" s="20" t="s">
        <v>80</v>
      </c>
      <c r="C20" s="29">
        <f>SUM(C6,C12)</f>
        <v>-98280</v>
      </c>
      <c r="D20" s="30">
        <f t="shared" ref="D20:K20" si="0">SUM(D6,D12)</f>
        <v>1094268</v>
      </c>
      <c r="E20" s="29">
        <f t="shared" si="0"/>
        <v>410372</v>
      </c>
      <c r="F20" s="31">
        <f t="shared" si="0"/>
        <v>889775</v>
      </c>
      <c r="G20" s="29">
        <f t="shared" si="0"/>
        <v>627</v>
      </c>
      <c r="H20" s="31">
        <f t="shared" si="0"/>
        <v>1009029</v>
      </c>
      <c r="I20" s="29">
        <f t="shared" si="0"/>
        <v>2243349</v>
      </c>
      <c r="J20" s="30">
        <f t="shared" si="0"/>
        <v>3956381</v>
      </c>
      <c r="K20" s="29">
        <f t="shared" si="0"/>
        <v>2287120</v>
      </c>
      <c r="L20" s="30">
        <f>SUM(L6,L12)</f>
        <v>3339055</v>
      </c>
      <c r="M20" s="29">
        <f t="shared" ref="M20:S20" si="1">SUM(M6,M12)</f>
        <v>2627051</v>
      </c>
      <c r="N20" s="30">
        <f t="shared" si="1"/>
        <v>7059709</v>
      </c>
      <c r="O20" s="29">
        <f t="shared" si="1"/>
        <v>8774023</v>
      </c>
      <c r="P20" s="30">
        <f t="shared" si="1"/>
        <v>13725637</v>
      </c>
      <c r="Q20" s="29">
        <f t="shared" si="1"/>
        <v>6933566</v>
      </c>
      <c r="R20" s="30">
        <f t="shared" si="1"/>
        <v>15012960</v>
      </c>
      <c r="S20" s="29">
        <f t="shared" si="1"/>
        <v>9575421</v>
      </c>
      <c r="T20" s="30">
        <f>SUM(T6,T12)</f>
        <v>16169837</v>
      </c>
    </row>
    <row r="21" spans="2:20" s="5" customFormat="1" ht="11.5" x14ac:dyDescent="0.25">
      <c r="C21" s="13"/>
      <c r="D21" s="14"/>
      <c r="E21" s="13"/>
      <c r="F21" s="15"/>
      <c r="G21" s="13"/>
      <c r="H21" s="15"/>
      <c r="I21" s="13"/>
      <c r="J21" s="14"/>
      <c r="K21" s="13"/>
      <c r="L21" s="14"/>
      <c r="M21" s="13"/>
      <c r="N21" s="14"/>
      <c r="O21" s="13"/>
      <c r="P21" s="14"/>
      <c r="Q21" s="13"/>
      <c r="R21" s="14"/>
      <c r="S21" s="13"/>
      <c r="T21" s="14"/>
    </row>
    <row r="22" spans="2:20" s="5" customFormat="1" ht="11.5" x14ac:dyDescent="0.25">
      <c r="B22" s="5" t="s">
        <v>81</v>
      </c>
      <c r="C22" s="13">
        <v>0</v>
      </c>
      <c r="D22" s="14">
        <v>0</v>
      </c>
      <c r="E22" s="13">
        <v>0</v>
      </c>
      <c r="F22" s="15">
        <v>0</v>
      </c>
      <c r="G22" s="13">
        <v>0</v>
      </c>
      <c r="H22" s="15">
        <v>23981</v>
      </c>
      <c r="I22" s="13">
        <v>11845</v>
      </c>
      <c r="J22" s="14">
        <v>-5409</v>
      </c>
      <c r="K22" s="13">
        <v>43272</v>
      </c>
      <c r="L22" s="14">
        <v>-12752</v>
      </c>
      <c r="M22" s="13">
        <v>10632</v>
      </c>
      <c r="N22" s="14">
        <v>50396</v>
      </c>
      <c r="O22" s="13">
        <v>142948</v>
      </c>
      <c r="P22" s="14">
        <v>44006</v>
      </c>
      <c r="Q22" s="13">
        <v>171223</v>
      </c>
      <c r="R22" s="14">
        <v>-51663</v>
      </c>
      <c r="S22" s="13">
        <v>253055</v>
      </c>
      <c r="T22" s="14">
        <v>-49743</v>
      </c>
    </row>
    <row r="23" spans="2:20" s="5" customFormat="1" ht="11.5" x14ac:dyDescent="0.25">
      <c r="B23" s="5" t="s">
        <v>82</v>
      </c>
      <c r="C23" s="13">
        <v>455075</v>
      </c>
      <c r="D23" s="14">
        <v>1738741</v>
      </c>
      <c r="E23" s="13">
        <v>81363</v>
      </c>
      <c r="F23" s="15">
        <v>202377</v>
      </c>
      <c r="G23" s="13">
        <v>403218</v>
      </c>
      <c r="H23" s="15">
        <v>2015298</v>
      </c>
      <c r="I23" s="13">
        <v>-757166</v>
      </c>
      <c r="J23" s="14">
        <v>669958</v>
      </c>
      <c r="K23" s="13">
        <v>-2255620</v>
      </c>
      <c r="L23" s="14">
        <v>468215</v>
      </c>
      <c r="M23" s="13">
        <v>281467</v>
      </c>
      <c r="N23" s="14">
        <v>3169547</v>
      </c>
      <c r="O23" s="13">
        <v>1454975</v>
      </c>
      <c r="P23" s="14">
        <v>1611575</v>
      </c>
      <c r="Q23" s="13">
        <v>3123470</v>
      </c>
      <c r="R23" s="14">
        <v>6245864</v>
      </c>
      <c r="S23" s="13">
        <v>-7977496</v>
      </c>
      <c r="T23" s="14">
        <v>-2506447</v>
      </c>
    </row>
    <row r="24" spans="2:20" s="5" customFormat="1" ht="11.5" x14ac:dyDescent="0.25">
      <c r="C24" s="13"/>
      <c r="D24" s="14"/>
      <c r="E24" s="13"/>
      <c r="F24" s="15"/>
      <c r="G24" s="13"/>
      <c r="H24" s="15"/>
      <c r="I24" s="13"/>
      <c r="J24" s="14"/>
      <c r="K24" s="13"/>
      <c r="L24" s="14"/>
      <c r="M24" s="13"/>
      <c r="N24" s="14"/>
      <c r="O24" s="13"/>
      <c r="P24" s="14"/>
      <c r="Q24" s="13"/>
      <c r="R24" s="14"/>
      <c r="S24" s="13"/>
      <c r="T24" s="14"/>
    </row>
    <row r="25" spans="2:20" s="20" customFormat="1" ht="11.5" x14ac:dyDescent="0.25">
      <c r="B25" s="20" t="s">
        <v>83</v>
      </c>
      <c r="C25" s="29">
        <f t="shared" ref="C25:M25" si="2">+C20+C22+C23</f>
        <v>356795</v>
      </c>
      <c r="D25" s="30">
        <f t="shared" si="2"/>
        <v>2833009</v>
      </c>
      <c r="E25" s="29">
        <f t="shared" si="2"/>
        <v>491735</v>
      </c>
      <c r="F25" s="31">
        <f t="shared" si="2"/>
        <v>1092152</v>
      </c>
      <c r="G25" s="29">
        <f t="shared" si="2"/>
        <v>403845</v>
      </c>
      <c r="H25" s="31">
        <f t="shared" si="2"/>
        <v>3048308</v>
      </c>
      <c r="I25" s="29">
        <f t="shared" si="2"/>
        <v>1498028</v>
      </c>
      <c r="J25" s="30">
        <f t="shared" si="2"/>
        <v>4620930</v>
      </c>
      <c r="K25" s="29">
        <f t="shared" si="2"/>
        <v>74772</v>
      </c>
      <c r="L25" s="30">
        <f>+L20+L22+L23</f>
        <v>3794518</v>
      </c>
      <c r="M25" s="29">
        <f t="shared" si="2"/>
        <v>2919150</v>
      </c>
      <c r="N25" s="30">
        <v>10279652</v>
      </c>
      <c r="O25" s="29">
        <v>10371946</v>
      </c>
      <c r="P25" s="30">
        <v>15381218</v>
      </c>
      <c r="Q25" s="29">
        <v>10228259</v>
      </c>
      <c r="R25" s="30">
        <f>+R20+R22+R23</f>
        <v>21207161</v>
      </c>
      <c r="S25" s="29">
        <f>+S20+S22+S23</f>
        <v>1850980</v>
      </c>
      <c r="T25" s="30">
        <f>+T20+T22+T23</f>
        <v>13613647</v>
      </c>
    </row>
    <row r="26" spans="2:20" s="5" customFormat="1" ht="11.5" x14ac:dyDescent="0.25">
      <c r="C26" s="13"/>
      <c r="D26" s="14"/>
      <c r="E26" s="13"/>
      <c r="F26" s="15"/>
      <c r="G26" s="13"/>
      <c r="H26" s="15"/>
      <c r="I26" s="13"/>
      <c r="J26" s="14"/>
      <c r="K26" s="13"/>
      <c r="L26" s="14"/>
      <c r="M26" s="13"/>
      <c r="N26" s="14"/>
      <c r="O26" s="13"/>
      <c r="P26" s="14"/>
      <c r="Q26" s="13"/>
      <c r="R26" s="14"/>
      <c r="S26" s="13"/>
      <c r="T26" s="14"/>
    </row>
    <row r="27" spans="2:20" s="5" customFormat="1" ht="11.5" x14ac:dyDescent="0.25">
      <c r="B27" s="5" t="s">
        <v>84</v>
      </c>
      <c r="C27" s="13">
        <v>-7284</v>
      </c>
      <c r="D27" s="14">
        <v>-53635</v>
      </c>
      <c r="E27" s="13">
        <v>72</v>
      </c>
      <c r="F27" s="15">
        <v>-58474</v>
      </c>
      <c r="G27" s="13">
        <v>-978</v>
      </c>
      <c r="H27" s="15">
        <v>14528</v>
      </c>
      <c r="I27" s="13">
        <v>-24375</v>
      </c>
      <c r="J27" s="14">
        <v>-117753</v>
      </c>
      <c r="K27" s="13">
        <v>-97777</v>
      </c>
      <c r="L27" s="14">
        <v>-172997</v>
      </c>
      <c r="M27" s="13">
        <v>-161928</v>
      </c>
      <c r="N27" s="14">
        <v>-336001</v>
      </c>
      <c r="O27" s="13">
        <v>-351862</v>
      </c>
      <c r="P27" s="14">
        <v>-493902</v>
      </c>
      <c r="Q27" s="13">
        <v>-337758</v>
      </c>
      <c r="R27" s="14">
        <v>-854744</v>
      </c>
      <c r="S27" s="13">
        <v>-558827</v>
      </c>
      <c r="T27" s="14">
        <v>-1093366</v>
      </c>
    </row>
    <row r="28" spans="2:20" s="5" customFormat="1" ht="11.5" x14ac:dyDescent="0.25">
      <c r="B28" s="5" t="s">
        <v>85</v>
      </c>
      <c r="C28" s="13">
        <v>-44140</v>
      </c>
      <c r="D28" s="14">
        <v>-202172</v>
      </c>
      <c r="E28" s="13">
        <v>-147005</v>
      </c>
      <c r="F28" s="15">
        <v>-377502</v>
      </c>
      <c r="G28" s="13">
        <v>-157498</v>
      </c>
      <c r="H28" s="15">
        <v>-565821</v>
      </c>
      <c r="I28" s="13">
        <v>-212853</v>
      </c>
      <c r="J28" s="14">
        <v>-535908</v>
      </c>
      <c r="K28" s="13">
        <v>-176036</v>
      </c>
      <c r="L28" s="14">
        <v>-525953</v>
      </c>
      <c r="M28" s="13">
        <v>-244744</v>
      </c>
      <c r="N28" s="14">
        <v>-521351</v>
      </c>
      <c r="O28" s="13">
        <v>-528072</v>
      </c>
      <c r="P28" s="14">
        <v>-1088790</v>
      </c>
      <c r="Q28" s="13">
        <v>-521651</v>
      </c>
      <c r="R28" s="14">
        <v>-1471562</v>
      </c>
      <c r="S28" s="13">
        <v>-577495</v>
      </c>
      <c r="T28" s="14">
        <v>-1403095</v>
      </c>
    </row>
    <row r="29" spans="2:20" s="5" customFormat="1" ht="11.5" x14ac:dyDescent="0.25">
      <c r="B29" s="5" t="s">
        <v>86</v>
      </c>
      <c r="C29" s="13">
        <v>0</v>
      </c>
      <c r="D29" s="14">
        <v>0</v>
      </c>
      <c r="E29" s="13">
        <v>0</v>
      </c>
      <c r="F29" s="15">
        <v>0</v>
      </c>
      <c r="G29" s="13">
        <v>0</v>
      </c>
      <c r="H29" s="15">
        <v>8403</v>
      </c>
      <c r="I29" s="13">
        <v>32222</v>
      </c>
      <c r="J29" s="14">
        <v>50313</v>
      </c>
      <c r="K29" s="13">
        <v>29312</v>
      </c>
      <c r="L29" s="14">
        <v>18081</v>
      </c>
      <c r="M29" s="13">
        <v>0</v>
      </c>
      <c r="N29" s="14">
        <v>0</v>
      </c>
      <c r="O29" s="13">
        <v>0</v>
      </c>
      <c r="P29" s="14">
        <v>0</v>
      </c>
      <c r="Q29" s="13">
        <v>0</v>
      </c>
      <c r="R29" s="14">
        <v>0</v>
      </c>
      <c r="S29" s="13">
        <v>0</v>
      </c>
      <c r="T29" s="14">
        <v>1248</v>
      </c>
    </row>
    <row r="30" spans="2:20" s="5" customFormat="1" ht="11.5" x14ac:dyDescent="0.25">
      <c r="B30" s="5" t="s">
        <v>87</v>
      </c>
      <c r="C30" s="13">
        <v>0</v>
      </c>
      <c r="D30" s="14">
        <v>0</v>
      </c>
      <c r="E30" s="13">
        <v>0</v>
      </c>
      <c r="F30" s="15">
        <v>0</v>
      </c>
      <c r="G30" s="13">
        <v>0</v>
      </c>
      <c r="H30" s="15">
        <v>0</v>
      </c>
      <c r="I30" s="13">
        <v>0</v>
      </c>
      <c r="J30" s="14">
        <v>0</v>
      </c>
      <c r="K30" s="13">
        <v>0</v>
      </c>
      <c r="L30" s="14">
        <v>86239</v>
      </c>
      <c r="M30" s="13">
        <v>0</v>
      </c>
      <c r="N30" s="14">
        <v>0</v>
      </c>
      <c r="O30" s="13">
        <v>0</v>
      </c>
      <c r="P30" s="14">
        <v>0</v>
      </c>
      <c r="Q30" s="13">
        <v>0</v>
      </c>
      <c r="R30" s="14">
        <v>0</v>
      </c>
      <c r="S30" s="13">
        <v>0</v>
      </c>
      <c r="T30" s="14">
        <v>0</v>
      </c>
    </row>
    <row r="31" spans="2:20" s="5" customFormat="1" ht="11.5" x14ac:dyDescent="0.25">
      <c r="B31" s="5" t="s">
        <v>88</v>
      </c>
      <c r="C31" s="13">
        <v>0</v>
      </c>
      <c r="D31" s="14">
        <v>0</v>
      </c>
      <c r="E31" s="13">
        <v>0</v>
      </c>
      <c r="F31" s="15">
        <v>0</v>
      </c>
      <c r="G31" s="13">
        <v>0</v>
      </c>
      <c r="H31" s="15">
        <v>0</v>
      </c>
      <c r="I31" s="13">
        <v>0</v>
      </c>
      <c r="J31" s="14">
        <v>0</v>
      </c>
      <c r="K31" s="13">
        <v>0</v>
      </c>
      <c r="L31" s="14">
        <v>0</v>
      </c>
      <c r="M31" s="13">
        <v>-164</v>
      </c>
      <c r="N31" s="14">
        <v>0</v>
      </c>
      <c r="O31" s="13">
        <v>-357589</v>
      </c>
      <c r="P31" s="14">
        <v>-350606</v>
      </c>
      <c r="Q31" s="13">
        <v>-5190</v>
      </c>
      <c r="R31" s="14">
        <v>-4962</v>
      </c>
      <c r="S31" s="13">
        <v>-9396</v>
      </c>
      <c r="T31" s="14">
        <v>-11994</v>
      </c>
    </row>
    <row r="32" spans="2:20" s="5" customFormat="1" ht="11.5" x14ac:dyDescent="0.25">
      <c r="B32" s="5" t="s">
        <v>89</v>
      </c>
      <c r="C32" s="13">
        <v>0</v>
      </c>
      <c r="D32" s="14">
        <v>0</v>
      </c>
      <c r="E32" s="13">
        <v>0</v>
      </c>
      <c r="F32" s="15">
        <v>0</v>
      </c>
      <c r="G32" s="13">
        <v>0</v>
      </c>
      <c r="H32" s="15">
        <v>0</v>
      </c>
      <c r="I32" s="13">
        <v>0</v>
      </c>
      <c r="J32" s="14">
        <v>0</v>
      </c>
      <c r="K32" s="13">
        <v>0</v>
      </c>
      <c r="L32" s="14">
        <v>0</v>
      </c>
      <c r="M32" s="13">
        <v>0</v>
      </c>
      <c r="N32" s="14">
        <v>0</v>
      </c>
      <c r="O32" s="13">
        <v>1933</v>
      </c>
      <c r="P32" s="14">
        <v>-1249</v>
      </c>
      <c r="Q32" s="13">
        <v>-208995</v>
      </c>
      <c r="R32" s="14">
        <v>-260759</v>
      </c>
      <c r="S32" s="13">
        <v>-4960</v>
      </c>
      <c r="T32" s="14">
        <v>-73549</v>
      </c>
    </row>
    <row r="33" spans="2:20" s="5" customFormat="1" ht="11.5" x14ac:dyDescent="0.25">
      <c r="B33" s="5" t="s">
        <v>90</v>
      </c>
      <c r="C33" s="13">
        <v>26278</v>
      </c>
      <c r="D33" s="14">
        <v>167030</v>
      </c>
      <c r="E33" s="13">
        <v>8447</v>
      </c>
      <c r="F33" s="15">
        <v>43997</v>
      </c>
      <c r="G33" s="13">
        <v>7036</v>
      </c>
      <c r="H33" s="15">
        <v>101633</v>
      </c>
      <c r="I33" s="13">
        <v>12898</v>
      </c>
      <c r="J33" s="14">
        <v>38397</v>
      </c>
      <c r="K33" s="13">
        <v>229928</v>
      </c>
      <c r="L33" s="14">
        <v>634367</v>
      </c>
      <c r="M33" s="13">
        <v>180552</v>
      </c>
      <c r="N33" s="14">
        <v>271619</v>
      </c>
      <c r="O33" s="13">
        <v>109357</v>
      </c>
      <c r="P33" s="14">
        <v>430447</v>
      </c>
      <c r="Q33" s="13">
        <v>48512</v>
      </c>
      <c r="R33" s="14">
        <v>516223</v>
      </c>
      <c r="S33" s="13">
        <v>1036045</v>
      </c>
      <c r="T33" s="14">
        <v>1500233</v>
      </c>
    </row>
    <row r="34" spans="2:20" s="36" customFormat="1" ht="12" x14ac:dyDescent="0.3">
      <c r="B34" s="36" t="s">
        <v>91</v>
      </c>
      <c r="C34" s="37">
        <v>0</v>
      </c>
      <c r="D34" s="38">
        <v>0</v>
      </c>
      <c r="E34" s="37">
        <v>0</v>
      </c>
      <c r="F34" s="39">
        <v>5117</v>
      </c>
      <c r="G34" s="37">
        <v>0</v>
      </c>
      <c r="H34" s="39">
        <v>49690</v>
      </c>
      <c r="I34" s="37">
        <v>5126</v>
      </c>
      <c r="J34" s="38">
        <v>0</v>
      </c>
      <c r="K34" s="37">
        <v>215998</v>
      </c>
      <c r="L34" s="38">
        <v>374285</v>
      </c>
      <c r="M34" s="37">
        <v>159898</v>
      </c>
      <c r="N34" s="38">
        <v>237199</v>
      </c>
      <c r="O34" s="37">
        <v>0</v>
      </c>
      <c r="P34" s="38">
        <v>324685</v>
      </c>
      <c r="Q34" s="37">
        <v>0</v>
      </c>
      <c r="R34" s="38">
        <v>399677</v>
      </c>
      <c r="S34" s="37">
        <v>437394</v>
      </c>
      <c r="T34" s="38">
        <v>696782</v>
      </c>
    </row>
    <row r="35" spans="2:20" s="36" customFormat="1" ht="12" x14ac:dyDescent="0.3">
      <c r="B35" s="40" t="s">
        <v>92</v>
      </c>
      <c r="C35" s="37">
        <v>0</v>
      </c>
      <c r="D35" s="38">
        <v>125102</v>
      </c>
      <c r="E35" s="37">
        <v>0</v>
      </c>
      <c r="F35" s="39">
        <v>0</v>
      </c>
      <c r="G35" s="37">
        <v>0</v>
      </c>
      <c r="H35" s="39">
        <v>0</v>
      </c>
      <c r="I35" s="37">
        <v>0</v>
      </c>
      <c r="J35" s="38">
        <v>0</v>
      </c>
      <c r="K35" s="37">
        <v>0</v>
      </c>
      <c r="L35" s="38">
        <v>237257</v>
      </c>
      <c r="M35" s="37">
        <v>0</v>
      </c>
      <c r="N35" s="38">
        <v>17296</v>
      </c>
      <c r="O35" s="37">
        <v>0</v>
      </c>
      <c r="P35" s="38">
        <v>10167</v>
      </c>
      <c r="Q35" s="37">
        <v>0</v>
      </c>
      <c r="R35" s="38">
        <v>5066</v>
      </c>
      <c r="S35" s="37">
        <v>186668</v>
      </c>
      <c r="T35" s="38">
        <v>231125</v>
      </c>
    </row>
    <row r="36" spans="2:20" s="36" customFormat="1" ht="12" x14ac:dyDescent="0.3">
      <c r="B36" s="36" t="s">
        <v>93</v>
      </c>
      <c r="C36" s="37">
        <v>0</v>
      </c>
      <c r="D36" s="38">
        <f>+D33-D34-D35</f>
        <v>41928</v>
      </c>
      <c r="E36" s="37">
        <v>0</v>
      </c>
      <c r="F36" s="39">
        <f>F33-F34-F35</f>
        <v>38880</v>
      </c>
      <c r="G36" s="37">
        <v>0</v>
      </c>
      <c r="H36" s="39">
        <f>+H33-H34-H35</f>
        <v>51943</v>
      </c>
      <c r="I36" s="37">
        <f>+I33-I34-I35</f>
        <v>7772</v>
      </c>
      <c r="J36" s="38">
        <f>+J33-J34-J35</f>
        <v>38397</v>
      </c>
      <c r="K36" s="37">
        <f>K33-K34-K35</f>
        <v>13930</v>
      </c>
      <c r="L36" s="38">
        <f>+L33-L34-L35</f>
        <v>22825</v>
      </c>
      <c r="M36" s="37">
        <f>M33-M34-M35</f>
        <v>20654</v>
      </c>
      <c r="N36" s="38">
        <f>+N33-N34-N35</f>
        <v>17124</v>
      </c>
      <c r="O36" s="37">
        <f>O33-O34-O35</f>
        <v>109357</v>
      </c>
      <c r="P36" s="38">
        <f>+P33-P34-P35</f>
        <v>95595</v>
      </c>
      <c r="Q36" s="37">
        <f>Q33-Q34-Q35</f>
        <v>48512</v>
      </c>
      <c r="R36" s="38">
        <f>+R33-R34-R35</f>
        <v>111480</v>
      </c>
      <c r="S36" s="37">
        <f>S33-S34-S35</f>
        <v>411983</v>
      </c>
      <c r="T36" s="38">
        <f>+T33-T34-T35</f>
        <v>572326</v>
      </c>
    </row>
    <row r="37" spans="2:20" s="5" customFormat="1" ht="11.5" x14ac:dyDescent="0.25">
      <c r="B37" s="5" t="s">
        <v>94</v>
      </c>
      <c r="C37" s="13">
        <v>-85071</v>
      </c>
      <c r="D37" s="14">
        <v>-128618</v>
      </c>
      <c r="E37" s="13">
        <v>-176318</v>
      </c>
      <c r="F37" s="15">
        <v>-216023</v>
      </c>
      <c r="G37" s="13">
        <v>-28175</v>
      </c>
      <c r="H37" s="15">
        <v>-70290</v>
      </c>
      <c r="I37" s="13">
        <v>-73994</v>
      </c>
      <c r="J37" s="14">
        <v>-469335</v>
      </c>
      <c r="K37" s="13">
        <v>-259109</v>
      </c>
      <c r="L37" s="14">
        <v>-403947</v>
      </c>
      <c r="M37" s="13">
        <v>-376460</v>
      </c>
      <c r="N37" s="14">
        <v>-505056</v>
      </c>
      <c r="O37" s="13">
        <v>-189389</v>
      </c>
      <c r="P37" s="14">
        <v>-543832</v>
      </c>
      <c r="Q37" s="13">
        <v>-199725</v>
      </c>
      <c r="R37" s="14">
        <v>-2388473</v>
      </c>
      <c r="S37" s="13">
        <v>-2593387</v>
      </c>
      <c r="T37" s="14">
        <v>-3774225</v>
      </c>
    </row>
    <row r="38" spans="2:20" s="5" customFormat="1" ht="12" x14ac:dyDescent="0.3">
      <c r="B38" s="36" t="s">
        <v>95</v>
      </c>
      <c r="C38" s="37">
        <v>-70630</v>
      </c>
      <c r="D38" s="38">
        <v>-93615</v>
      </c>
      <c r="E38" s="37">
        <v>-155944</v>
      </c>
      <c r="F38" s="39">
        <v>-180574</v>
      </c>
      <c r="G38" s="37">
        <v>-20225</v>
      </c>
      <c r="H38" s="39">
        <v>-32209</v>
      </c>
      <c r="I38" s="37">
        <f>-12486-28828</f>
        <v>-41314</v>
      </c>
      <c r="J38" s="38">
        <f>-389971-38162</f>
        <v>-428133</v>
      </c>
      <c r="K38" s="37">
        <v>-192188</v>
      </c>
      <c r="L38" s="38">
        <v>-278484</v>
      </c>
      <c r="M38" s="37">
        <v>-313516</v>
      </c>
      <c r="N38" s="38">
        <v>-390289</v>
      </c>
      <c r="O38" s="37">
        <v>-135969</v>
      </c>
      <c r="P38" s="38">
        <v>-331943</v>
      </c>
      <c r="Q38" s="37">
        <v>-107539</v>
      </c>
      <c r="R38" s="38">
        <v>-1540579</v>
      </c>
      <c r="S38" s="37">
        <v>-2419913</v>
      </c>
      <c r="T38" s="38">
        <v>-3396902</v>
      </c>
    </row>
    <row r="39" spans="2:20" s="5" customFormat="1" ht="12" hidden="1" x14ac:dyDescent="0.3">
      <c r="B39" s="36" t="s">
        <v>96</v>
      </c>
      <c r="C39" s="37">
        <v>0</v>
      </c>
      <c r="D39" s="38">
        <v>0</v>
      </c>
      <c r="E39" s="37">
        <v>0</v>
      </c>
      <c r="F39" s="39">
        <v>0</v>
      </c>
      <c r="G39" s="37">
        <v>0</v>
      </c>
      <c r="H39" s="39">
        <v>0</v>
      </c>
      <c r="I39" s="37">
        <f t="shared" ref="I39:M39" si="3">-(I52+I23+I13)</f>
        <v>0</v>
      </c>
      <c r="J39" s="38">
        <f t="shared" si="3"/>
        <v>0</v>
      </c>
      <c r="K39" s="37">
        <f t="shared" si="3"/>
        <v>0</v>
      </c>
      <c r="L39" s="38">
        <f t="shared" si="3"/>
        <v>0</v>
      </c>
      <c r="M39" s="37">
        <f t="shared" si="3"/>
        <v>0</v>
      </c>
      <c r="N39" s="38">
        <v>0</v>
      </c>
      <c r="O39" s="37">
        <v>0</v>
      </c>
      <c r="P39" s="38">
        <v>0</v>
      </c>
      <c r="Q39" s="37">
        <v>0</v>
      </c>
      <c r="R39" s="38">
        <v>0</v>
      </c>
      <c r="S39" s="37">
        <v>0</v>
      </c>
      <c r="T39" s="38">
        <v>0</v>
      </c>
    </row>
    <row r="40" spans="2:20" s="5" customFormat="1" ht="12" x14ac:dyDescent="0.3">
      <c r="B40" s="36" t="s">
        <v>97</v>
      </c>
      <c r="C40" s="37">
        <f t="shared" ref="C40:O40" si="4">C37-C38-C39</f>
        <v>-14441</v>
      </c>
      <c r="D40" s="38">
        <f t="shared" si="4"/>
        <v>-35003</v>
      </c>
      <c r="E40" s="37">
        <f t="shared" si="4"/>
        <v>-20374</v>
      </c>
      <c r="F40" s="39">
        <f t="shared" si="4"/>
        <v>-35449</v>
      </c>
      <c r="G40" s="37">
        <f t="shared" si="4"/>
        <v>-7950</v>
      </c>
      <c r="H40" s="39">
        <f t="shared" si="4"/>
        <v>-38081</v>
      </c>
      <c r="I40" s="37">
        <f t="shared" si="4"/>
        <v>-32680</v>
      </c>
      <c r="J40" s="38">
        <f t="shared" si="4"/>
        <v>-41202</v>
      </c>
      <c r="K40" s="37">
        <f t="shared" si="4"/>
        <v>-66921</v>
      </c>
      <c r="L40" s="38">
        <f>L37-L38-L39</f>
        <v>-125463</v>
      </c>
      <c r="M40" s="37">
        <f t="shared" si="4"/>
        <v>-62944</v>
      </c>
      <c r="N40" s="38">
        <f>N37-N38-N39</f>
        <v>-114767</v>
      </c>
      <c r="O40" s="37">
        <f t="shared" si="4"/>
        <v>-53420</v>
      </c>
      <c r="P40" s="38">
        <f>P37-P38-P39</f>
        <v>-211889</v>
      </c>
      <c r="Q40" s="37">
        <f>Q37-Q38-Q39</f>
        <v>-92186</v>
      </c>
      <c r="R40" s="38">
        <f>R37-R38-R39</f>
        <v>-847894</v>
      </c>
      <c r="S40" s="37">
        <f>S37-S38-S39</f>
        <v>-173474</v>
      </c>
      <c r="T40" s="38">
        <f>T37-T38-T39</f>
        <v>-377323</v>
      </c>
    </row>
    <row r="41" spans="2:20" s="5" customFormat="1" ht="11.5" x14ac:dyDescent="0.25">
      <c r="B41" s="5" t="s">
        <v>98</v>
      </c>
      <c r="C41" s="13">
        <v>16138</v>
      </c>
      <c r="D41" s="14">
        <v>17858</v>
      </c>
      <c r="E41" s="13">
        <v>3178</v>
      </c>
      <c r="F41" s="15">
        <v>20626</v>
      </c>
      <c r="G41" s="13">
        <v>14923</v>
      </c>
      <c r="H41" s="15">
        <v>29411</v>
      </c>
      <c r="I41" s="13">
        <v>22742</v>
      </c>
      <c r="J41" s="14">
        <v>30456</v>
      </c>
      <c r="K41" s="13">
        <v>6504</v>
      </c>
      <c r="L41" s="14">
        <v>12130</v>
      </c>
      <c r="M41" s="13">
        <v>23164</v>
      </c>
      <c r="N41" s="14">
        <v>38354</v>
      </c>
      <c r="O41" s="13">
        <v>29021</v>
      </c>
      <c r="P41" s="14">
        <v>87749</v>
      </c>
      <c r="Q41" s="13">
        <v>49156</v>
      </c>
      <c r="R41" s="14">
        <v>114443</v>
      </c>
      <c r="S41" s="13">
        <v>127799</v>
      </c>
      <c r="T41" s="14">
        <v>331980</v>
      </c>
    </row>
    <row r="42" spans="2:20" s="5" customFormat="1" ht="11.5" x14ac:dyDescent="0.25">
      <c r="B42" s="5" t="s">
        <v>99</v>
      </c>
      <c r="C42" s="13">
        <v>-350192</v>
      </c>
      <c r="D42" s="14">
        <v>-452355</v>
      </c>
      <c r="E42" s="13">
        <v>-103210</v>
      </c>
      <c r="F42" s="15">
        <v>-114691</v>
      </c>
      <c r="G42" s="13">
        <v>-93962</v>
      </c>
      <c r="H42" s="15">
        <v>-247862</v>
      </c>
      <c r="I42" s="13">
        <v>-198120</v>
      </c>
      <c r="J42" s="14">
        <v>-285928</v>
      </c>
      <c r="K42" s="13">
        <f>-142556</f>
        <v>-142556</v>
      </c>
      <c r="L42" s="14">
        <v>-258845</v>
      </c>
      <c r="M42" s="13">
        <v>-271018</v>
      </c>
      <c r="N42" s="14">
        <v>-589159</v>
      </c>
      <c r="O42" s="13">
        <v>-477965</v>
      </c>
      <c r="P42" s="14">
        <v>-959332</v>
      </c>
      <c r="Q42" s="13">
        <v>-569224</v>
      </c>
      <c r="R42" s="14">
        <v>-1275934</v>
      </c>
      <c r="S42" s="13">
        <v>-586372</v>
      </c>
      <c r="T42" s="14">
        <v>-1330125</v>
      </c>
    </row>
    <row r="43" spans="2:20" s="5" customFormat="1" ht="11.5" x14ac:dyDescent="0.25">
      <c r="B43" s="5" t="s">
        <v>100</v>
      </c>
      <c r="C43" s="13">
        <v>22862</v>
      </c>
      <c r="D43" s="14">
        <v>9529</v>
      </c>
      <c r="E43" s="13">
        <v>-7781</v>
      </c>
      <c r="F43" s="15">
        <v>-17088</v>
      </c>
      <c r="G43" s="13">
        <v>30910</v>
      </c>
      <c r="H43" s="15">
        <v>361</v>
      </c>
      <c r="I43" s="13">
        <v>-11870</v>
      </c>
      <c r="J43" s="14">
        <v>-46598</v>
      </c>
      <c r="K43" s="13">
        <v>-39360</v>
      </c>
      <c r="L43" s="14">
        <v>24842</v>
      </c>
      <c r="M43" s="13">
        <v>-25081</v>
      </c>
      <c r="N43" s="14">
        <v>-35820</v>
      </c>
      <c r="O43" s="13">
        <v>-314438</v>
      </c>
      <c r="P43" s="14">
        <v>-205494</v>
      </c>
      <c r="Q43" s="13">
        <v>181682</v>
      </c>
      <c r="R43" s="14">
        <v>376573</v>
      </c>
      <c r="S43" s="13">
        <v>-113061</v>
      </c>
      <c r="T43" s="14">
        <v>-9915</v>
      </c>
    </row>
    <row r="44" spans="2:20" s="5" customFormat="1" ht="11.5" x14ac:dyDescent="0.25">
      <c r="C44" s="13"/>
      <c r="D44" s="14"/>
      <c r="E44" s="13"/>
      <c r="F44" s="15"/>
      <c r="G44" s="13"/>
      <c r="H44" s="15"/>
      <c r="I44" s="13"/>
      <c r="J44" s="14"/>
      <c r="K44" s="13"/>
      <c r="L44" s="14"/>
      <c r="M44" s="13"/>
      <c r="N44" s="14"/>
      <c r="O44" s="13"/>
      <c r="P44" s="14"/>
      <c r="Q44" s="13"/>
      <c r="R44" s="14"/>
      <c r="S44" s="13"/>
      <c r="T44" s="14"/>
    </row>
    <row r="45" spans="2:20" s="20" customFormat="1" ht="11.5" x14ac:dyDescent="0.25">
      <c r="B45" s="20" t="s">
        <v>101</v>
      </c>
      <c r="C45" s="29">
        <f t="shared" ref="C45:R45" si="5">SUM(C25,C27:C33,C37,C41:C43)</f>
        <v>-64614</v>
      </c>
      <c r="D45" s="30">
        <f t="shared" si="5"/>
        <v>2190646</v>
      </c>
      <c r="E45" s="29">
        <f t="shared" si="5"/>
        <v>69118</v>
      </c>
      <c r="F45" s="31">
        <f t="shared" si="5"/>
        <v>372997</v>
      </c>
      <c r="G45" s="29">
        <f t="shared" si="5"/>
        <v>176101</v>
      </c>
      <c r="H45" s="31">
        <f t="shared" si="5"/>
        <v>2318671</v>
      </c>
      <c r="I45" s="29">
        <f t="shared" si="5"/>
        <v>1044678</v>
      </c>
      <c r="J45" s="30">
        <f t="shared" si="5"/>
        <v>3284574</v>
      </c>
      <c r="K45" s="29">
        <f t="shared" si="5"/>
        <v>-374322</v>
      </c>
      <c r="L45" s="30">
        <f t="shared" si="5"/>
        <v>3208435</v>
      </c>
      <c r="M45" s="29">
        <f t="shared" si="5"/>
        <v>2043471</v>
      </c>
      <c r="N45" s="30">
        <f t="shared" si="5"/>
        <v>8602238</v>
      </c>
      <c r="O45" s="29">
        <f t="shared" si="5"/>
        <v>8292942</v>
      </c>
      <c r="P45" s="30">
        <f>SUM(P25,P27:P33,P37,P41:P43)</f>
        <v>12256209</v>
      </c>
      <c r="Q45" s="29">
        <f t="shared" si="5"/>
        <v>8665066</v>
      </c>
      <c r="R45" s="30">
        <f t="shared" si="5"/>
        <v>15957966</v>
      </c>
      <c r="S45" s="29">
        <f>SUM(S25,S27:S33,S37,S41:S43)</f>
        <v>-1428674</v>
      </c>
      <c r="T45" s="30">
        <f t="shared" ref="T45" si="6">SUM(T25,T27:T33,T37,T41:T43)</f>
        <v>7750839</v>
      </c>
    </row>
    <row r="46" spans="2:20" s="5" customFormat="1" ht="11.5" x14ac:dyDescent="0.25">
      <c r="B46" s="5" t="s">
        <v>102</v>
      </c>
      <c r="C46" s="13">
        <v>-23349</v>
      </c>
      <c r="D46" s="14">
        <v>-57572</v>
      </c>
      <c r="E46" s="13">
        <v>-11462</v>
      </c>
      <c r="F46" s="15">
        <v>3255</v>
      </c>
      <c r="G46" s="13">
        <v>-22326</v>
      </c>
      <c r="H46" s="15">
        <v>-27731</v>
      </c>
      <c r="I46" s="13">
        <v>-37012</v>
      </c>
      <c r="J46" s="14">
        <v>-26595</v>
      </c>
      <c r="K46" s="13">
        <v>-27559</v>
      </c>
      <c r="L46" s="14">
        <v>-36185</v>
      </c>
      <c r="M46" s="13">
        <v>-82196</v>
      </c>
      <c r="N46" s="14">
        <v>-104564</v>
      </c>
      <c r="O46" s="13">
        <v>-11420</v>
      </c>
      <c r="P46" s="14">
        <v>-40717</v>
      </c>
      <c r="Q46" s="13">
        <v>-26646</v>
      </c>
      <c r="R46" s="14">
        <v>-486772</v>
      </c>
      <c r="S46" s="13">
        <v>12773</v>
      </c>
      <c r="T46" s="14">
        <v>10939</v>
      </c>
    </row>
    <row r="47" spans="2:20" s="20" customFormat="1" ht="11.5" x14ac:dyDescent="0.25">
      <c r="B47" s="41" t="s">
        <v>103</v>
      </c>
      <c r="C47" s="42">
        <f t="shared" ref="C47:T47" si="7">+C45+C46</f>
        <v>-87963</v>
      </c>
      <c r="D47" s="43">
        <f t="shared" si="7"/>
        <v>2133074</v>
      </c>
      <c r="E47" s="42">
        <f t="shared" si="7"/>
        <v>57656</v>
      </c>
      <c r="F47" s="44">
        <f t="shared" si="7"/>
        <v>376252</v>
      </c>
      <c r="G47" s="42">
        <f t="shared" si="7"/>
        <v>153775</v>
      </c>
      <c r="H47" s="44">
        <f t="shared" si="7"/>
        <v>2290940</v>
      </c>
      <c r="I47" s="42">
        <f t="shared" si="7"/>
        <v>1007666</v>
      </c>
      <c r="J47" s="44">
        <f t="shared" si="7"/>
        <v>3257979</v>
      </c>
      <c r="K47" s="42">
        <f t="shared" si="7"/>
        <v>-401881</v>
      </c>
      <c r="L47" s="44">
        <f t="shared" si="7"/>
        <v>3172250</v>
      </c>
      <c r="M47" s="42">
        <f t="shared" si="7"/>
        <v>1961275</v>
      </c>
      <c r="N47" s="44">
        <f t="shared" si="7"/>
        <v>8497674</v>
      </c>
      <c r="O47" s="42">
        <f t="shared" si="7"/>
        <v>8281522</v>
      </c>
      <c r="P47" s="44">
        <f t="shared" si="7"/>
        <v>12215492</v>
      </c>
      <c r="Q47" s="42">
        <f t="shared" si="7"/>
        <v>8638420</v>
      </c>
      <c r="R47" s="44">
        <f t="shared" si="7"/>
        <v>15471194</v>
      </c>
      <c r="S47" s="42">
        <f t="shared" si="7"/>
        <v>-1415901</v>
      </c>
      <c r="T47" s="44">
        <f t="shared" si="7"/>
        <v>7761778</v>
      </c>
    </row>
    <row r="48" spans="2:20" s="5" customFormat="1" ht="11.5" x14ac:dyDescent="0.25">
      <c r="C48" s="21"/>
      <c r="D48" s="14"/>
      <c r="E48" s="21"/>
      <c r="F48" s="23"/>
      <c r="G48" s="21"/>
      <c r="H48" s="23"/>
      <c r="I48" s="21"/>
      <c r="J48" s="22"/>
      <c r="K48" s="21"/>
      <c r="L48" s="22"/>
      <c r="M48" s="21"/>
      <c r="N48" s="22"/>
      <c r="O48" s="21"/>
      <c r="P48" s="22"/>
      <c r="Q48" s="21"/>
      <c r="R48" s="22"/>
      <c r="S48" s="21"/>
      <c r="T48" s="22"/>
    </row>
    <row r="49" spans="2:20" s="5" customFormat="1" ht="11.5" x14ac:dyDescent="0.25">
      <c r="B49" s="5" t="s">
        <v>100</v>
      </c>
      <c r="C49" s="21"/>
      <c r="D49" s="14">
        <f>-10349+820</f>
        <v>-9529</v>
      </c>
      <c r="E49" s="21"/>
      <c r="F49" s="23">
        <f>-F43</f>
        <v>17088</v>
      </c>
      <c r="G49" s="45">
        <f>-G43</f>
        <v>-30910</v>
      </c>
      <c r="H49" s="23">
        <f>-H43</f>
        <v>-361</v>
      </c>
      <c r="I49" s="45">
        <v>11870</v>
      </c>
      <c r="J49" s="22">
        <v>46598</v>
      </c>
      <c r="K49" s="45">
        <v>39360</v>
      </c>
      <c r="L49" s="22">
        <f>-L43</f>
        <v>-24842</v>
      </c>
      <c r="M49" s="45">
        <v>25081</v>
      </c>
      <c r="N49" s="22">
        <f t="shared" ref="N49:S49" si="8">-N43</f>
        <v>35820</v>
      </c>
      <c r="O49" s="45">
        <f t="shared" si="8"/>
        <v>314438</v>
      </c>
      <c r="P49" s="22">
        <f t="shared" si="8"/>
        <v>205494</v>
      </c>
      <c r="Q49" s="45">
        <f t="shared" si="8"/>
        <v>-181682</v>
      </c>
      <c r="R49" s="22">
        <f t="shared" si="8"/>
        <v>-376573</v>
      </c>
      <c r="S49" s="45">
        <f t="shared" si="8"/>
        <v>113061</v>
      </c>
      <c r="T49" s="22">
        <f>-T43</f>
        <v>9915</v>
      </c>
    </row>
    <row r="50" spans="2:20" s="5" customFormat="1" ht="11.5" x14ac:dyDescent="0.25">
      <c r="B50" s="5" t="s">
        <v>104</v>
      </c>
      <c r="C50" s="23"/>
      <c r="D50" s="23">
        <f>568594-(207871-73774)</f>
        <v>434497</v>
      </c>
      <c r="E50" s="23"/>
      <c r="F50" s="23">
        <f>-SUM(F41:F42)</f>
        <v>94065</v>
      </c>
      <c r="G50" s="6">
        <v>79035</v>
      </c>
      <c r="H50" s="23">
        <v>218452</v>
      </c>
      <c r="I50" s="45">
        <f t="shared" ref="I50:Q50" si="9">-SUM(I41:I42)</f>
        <v>175378</v>
      </c>
      <c r="J50" s="23">
        <f t="shared" si="9"/>
        <v>255472</v>
      </c>
      <c r="K50" s="45">
        <f t="shared" si="9"/>
        <v>136052</v>
      </c>
      <c r="L50" s="23">
        <f t="shared" si="9"/>
        <v>246715</v>
      </c>
      <c r="M50" s="45">
        <f t="shared" si="9"/>
        <v>247854</v>
      </c>
      <c r="N50" s="23">
        <v>551647</v>
      </c>
      <c r="O50" s="45">
        <f t="shared" ref="O50" si="10">-SUM(O41:O42)</f>
        <v>448944</v>
      </c>
      <c r="P50" s="23">
        <f>-SUM(P41:P42)</f>
        <v>871583</v>
      </c>
      <c r="Q50" s="45">
        <f t="shared" si="9"/>
        <v>520068</v>
      </c>
      <c r="R50" s="23">
        <f>-SUM(R41:R42)</f>
        <v>1161491</v>
      </c>
      <c r="S50" s="45">
        <f>-SUM(S41:S42)</f>
        <v>458573</v>
      </c>
      <c r="T50" s="23">
        <f>-SUM(T41:T42)</f>
        <v>998145</v>
      </c>
    </row>
    <row r="51" spans="2:20" s="5" customFormat="1" ht="11.5" x14ac:dyDescent="0.25">
      <c r="B51" s="5" t="s">
        <v>105</v>
      </c>
      <c r="C51" s="21"/>
      <c r="D51" s="22">
        <v>83078</v>
      </c>
      <c r="E51" s="21"/>
      <c r="F51" s="23">
        <v>237180</v>
      </c>
      <c r="G51" s="6">
        <v>21728</v>
      </c>
      <c r="H51" s="23">
        <v>164766</v>
      </c>
      <c r="I51" s="45">
        <v>192562</v>
      </c>
      <c r="J51" s="22">
        <v>435034</v>
      </c>
      <c r="K51" s="45">
        <v>240009</v>
      </c>
      <c r="L51" s="22">
        <v>498747</v>
      </c>
      <c r="M51" s="45">
        <f>CF!M8</f>
        <v>387729</v>
      </c>
      <c r="N51" s="14">
        <f>CF!N8</f>
        <v>779822</v>
      </c>
      <c r="O51" s="45">
        <f>CF!O8</f>
        <v>451639</v>
      </c>
      <c r="P51" s="14">
        <f>CF!P8</f>
        <v>929337</v>
      </c>
      <c r="Q51" s="45">
        <f>CF!Q8</f>
        <v>574259</v>
      </c>
      <c r="R51" s="14">
        <f>CF!R8</f>
        <v>1250526</v>
      </c>
      <c r="S51" s="45">
        <f>CF!S8</f>
        <v>843947</v>
      </c>
      <c r="T51" s="14">
        <f>CF!T8</f>
        <v>1378639</v>
      </c>
    </row>
    <row r="52" spans="2:20" s="5" customFormat="1" ht="11.5" x14ac:dyDescent="0.25">
      <c r="B52" s="5" t="s">
        <v>106</v>
      </c>
      <c r="C52" s="21"/>
      <c r="D52" s="22">
        <v>-1684118</v>
      </c>
      <c r="E52" s="21"/>
      <c r="F52" s="23">
        <v>1340056</v>
      </c>
      <c r="G52" s="6">
        <v>-287668</v>
      </c>
      <c r="H52" s="23">
        <v>-1823046</v>
      </c>
      <c r="I52" s="45">
        <v>757166</v>
      </c>
      <c r="J52" s="22">
        <v>-669958</v>
      </c>
      <c r="K52" s="45">
        <v>2255620</v>
      </c>
      <c r="L52" s="22">
        <v>-468215</v>
      </c>
      <c r="M52" s="45">
        <v>-281467</v>
      </c>
      <c r="N52" s="22">
        <f t="shared" ref="N52:S52" si="11">-N23</f>
        <v>-3169547</v>
      </c>
      <c r="O52" s="45">
        <f t="shared" si="11"/>
        <v>-1454975</v>
      </c>
      <c r="P52" s="22">
        <f t="shared" si="11"/>
        <v>-1611575</v>
      </c>
      <c r="Q52" s="45">
        <f t="shared" si="11"/>
        <v>-3123470</v>
      </c>
      <c r="R52" s="22">
        <f t="shared" si="11"/>
        <v>-6245864</v>
      </c>
      <c r="S52" s="45">
        <f t="shared" si="11"/>
        <v>7977496</v>
      </c>
      <c r="T52" s="22">
        <f>-T23</f>
        <v>2506447</v>
      </c>
    </row>
    <row r="53" spans="2:20" s="5" customFormat="1" ht="11.5" x14ac:dyDescent="0.25">
      <c r="B53" s="5" t="s">
        <v>107</v>
      </c>
      <c r="C53" s="21"/>
      <c r="D53" s="22">
        <v>0</v>
      </c>
      <c r="E53" s="21"/>
      <c r="F53" s="23">
        <v>0</v>
      </c>
      <c r="G53" s="21">
        <v>0</v>
      </c>
      <c r="H53" s="23">
        <v>95121</v>
      </c>
      <c r="I53" s="21">
        <v>0</v>
      </c>
      <c r="J53" s="22">
        <v>80189</v>
      </c>
      <c r="K53" s="21">
        <v>0</v>
      </c>
      <c r="L53" s="22">
        <v>0</v>
      </c>
      <c r="M53" s="21">
        <v>5460</v>
      </c>
      <c r="N53" s="22">
        <v>5460</v>
      </c>
      <c r="O53" s="21">
        <v>325094</v>
      </c>
      <c r="P53" s="22">
        <v>325311</v>
      </c>
      <c r="Q53" s="21">
        <v>0</v>
      </c>
      <c r="R53" s="22">
        <v>650813</v>
      </c>
      <c r="S53" s="21">
        <v>0</v>
      </c>
      <c r="T53" s="22">
        <v>117205</v>
      </c>
    </row>
    <row r="54" spans="2:20" s="5" customFormat="1" ht="11.5" x14ac:dyDescent="0.25">
      <c r="B54" s="5" t="s">
        <v>108</v>
      </c>
      <c r="C54" s="21"/>
      <c r="D54" s="22">
        <v>0</v>
      </c>
      <c r="E54" s="21"/>
      <c r="F54" s="23">
        <v>0</v>
      </c>
      <c r="G54" s="21">
        <v>0</v>
      </c>
      <c r="H54" s="23">
        <v>0</v>
      </c>
      <c r="I54" s="21">
        <v>0</v>
      </c>
      <c r="J54" s="22">
        <v>0</v>
      </c>
      <c r="K54" s="21">
        <v>0</v>
      </c>
      <c r="L54" s="22">
        <v>0</v>
      </c>
      <c r="M54" s="21">
        <v>-10632</v>
      </c>
      <c r="N54" s="22">
        <v>-50397</v>
      </c>
      <c r="O54" s="21">
        <v>-142948</v>
      </c>
      <c r="P54" s="22">
        <v>-44006</v>
      </c>
      <c r="Q54" s="21">
        <v>-171223</v>
      </c>
      <c r="R54" s="22">
        <v>51663</v>
      </c>
      <c r="S54" s="21">
        <v>-253055</v>
      </c>
      <c r="T54" s="22">
        <v>49743</v>
      </c>
    </row>
    <row r="55" spans="2:20" s="5" customFormat="1" ht="11.5" x14ac:dyDescent="0.25">
      <c r="B55" s="5" t="s">
        <v>109</v>
      </c>
      <c r="C55" s="21"/>
      <c r="D55" s="22">
        <v>0</v>
      </c>
      <c r="E55" s="21"/>
      <c r="F55" s="23">
        <v>0</v>
      </c>
      <c r="G55" s="21">
        <v>0</v>
      </c>
      <c r="H55" s="23">
        <v>0</v>
      </c>
      <c r="I55" s="21">
        <v>0</v>
      </c>
      <c r="J55" s="22">
        <v>0</v>
      </c>
      <c r="K55" s="21">
        <v>0</v>
      </c>
      <c r="L55" s="22">
        <v>0</v>
      </c>
      <c r="M55" s="21">
        <v>0</v>
      </c>
      <c r="N55" s="22">
        <v>0</v>
      </c>
      <c r="O55" s="21">
        <v>0</v>
      </c>
      <c r="P55" s="22">
        <v>0</v>
      </c>
      <c r="Q55" s="21">
        <v>0</v>
      </c>
      <c r="R55" s="22">
        <f>CF!R14</f>
        <v>269360</v>
      </c>
      <c r="S55" s="21">
        <v>0</v>
      </c>
      <c r="T55" s="22">
        <f>CF!T14</f>
        <v>0</v>
      </c>
    </row>
    <row r="56" spans="2:20" s="5" customFormat="1" ht="11.5" x14ac:dyDescent="0.25">
      <c r="B56" s="5" t="s">
        <v>110</v>
      </c>
      <c r="C56" s="21"/>
      <c r="D56" s="22">
        <v>0</v>
      </c>
      <c r="E56" s="21"/>
      <c r="F56" s="23">
        <v>0</v>
      </c>
      <c r="G56" s="21">
        <v>0</v>
      </c>
      <c r="H56" s="23">
        <v>0</v>
      </c>
      <c r="I56" s="21">
        <v>0</v>
      </c>
      <c r="J56" s="22">
        <v>0</v>
      </c>
      <c r="K56" s="21">
        <v>0</v>
      </c>
      <c r="L56" s="22">
        <v>-86239</v>
      </c>
      <c r="M56" s="21">
        <v>0</v>
      </c>
      <c r="N56" s="22">
        <v>0</v>
      </c>
      <c r="O56" s="21">
        <v>0</v>
      </c>
      <c r="P56" s="22">
        <v>0</v>
      </c>
      <c r="Q56" s="21">
        <v>0</v>
      </c>
      <c r="R56" s="22">
        <v>0</v>
      </c>
      <c r="S56" s="21">
        <v>0</v>
      </c>
      <c r="T56" s="22">
        <v>0</v>
      </c>
    </row>
    <row r="57" spans="2:20" s="5" customFormat="1" ht="11.5" x14ac:dyDescent="0.25">
      <c r="B57" s="5" t="s">
        <v>111</v>
      </c>
      <c r="C57" s="21">
        <v>0</v>
      </c>
      <c r="D57" s="22">
        <v>0</v>
      </c>
      <c r="E57" s="21">
        <v>0</v>
      </c>
      <c r="F57" s="23">
        <v>0</v>
      </c>
      <c r="G57" s="21">
        <v>0</v>
      </c>
      <c r="H57" s="23">
        <v>0</v>
      </c>
      <c r="I57" s="21">
        <v>0</v>
      </c>
      <c r="J57" s="22">
        <v>0</v>
      </c>
      <c r="K57" s="21">
        <v>0</v>
      </c>
      <c r="L57" s="22">
        <v>0</v>
      </c>
      <c r="M57" s="21">
        <v>0</v>
      </c>
      <c r="N57" s="22">
        <v>0</v>
      </c>
      <c r="O57" s="21">
        <v>0</v>
      </c>
      <c r="P57" s="22">
        <v>0</v>
      </c>
      <c r="Q57" s="21">
        <v>0</v>
      </c>
      <c r="R57" s="22">
        <v>0</v>
      </c>
      <c r="S57" s="21">
        <v>-186668</v>
      </c>
      <c r="T57" s="22">
        <v>-186603</v>
      </c>
    </row>
    <row r="58" spans="2:20" s="5" customFormat="1" ht="11.5" x14ac:dyDescent="0.25">
      <c r="B58" s="5" t="s">
        <v>112</v>
      </c>
      <c r="C58" s="21"/>
      <c r="D58" s="22">
        <v>0</v>
      </c>
      <c r="E58" s="21"/>
      <c r="F58" s="23">
        <v>0</v>
      </c>
      <c r="G58" s="21">
        <v>0</v>
      </c>
      <c r="H58" s="23">
        <v>0</v>
      </c>
      <c r="I58" s="21">
        <v>0</v>
      </c>
      <c r="J58" s="22">
        <v>0</v>
      </c>
      <c r="K58" s="21">
        <v>0</v>
      </c>
      <c r="L58" s="22">
        <v>0</v>
      </c>
      <c r="M58" s="21">
        <v>0</v>
      </c>
      <c r="N58" s="22">
        <v>0</v>
      </c>
      <c r="O58" s="21">
        <v>0</v>
      </c>
      <c r="P58" s="22">
        <v>0</v>
      </c>
      <c r="Q58" s="21">
        <v>0</v>
      </c>
      <c r="R58" s="22">
        <f>CF!R27</f>
        <v>146000</v>
      </c>
      <c r="S58" s="21">
        <v>-146000</v>
      </c>
      <c r="T58" s="22">
        <f>CF!T27</f>
        <v>-146000</v>
      </c>
    </row>
    <row r="59" spans="2:20" s="20" customFormat="1" ht="12" thickBot="1" x14ac:dyDescent="0.3">
      <c r="B59" s="25" t="s">
        <v>113</v>
      </c>
      <c r="C59" s="26"/>
      <c r="D59" s="27">
        <f>D45+D49+D50+D52+D51+D53+D54+D55+D58+D56+D57</f>
        <v>1014574</v>
      </c>
      <c r="E59" s="26"/>
      <c r="F59" s="28">
        <f>F45+F49+F50+F52+F51+F53+F54+F55+F58+F56+F57</f>
        <v>2061386</v>
      </c>
      <c r="G59" s="26">
        <f t="shared" ref="G59:T59" si="12">G45+G49+G50+G52+G51+G53+G54+G55+G58+G56+G57</f>
        <v>-41714</v>
      </c>
      <c r="H59" s="28">
        <f t="shared" si="12"/>
        <v>973603</v>
      </c>
      <c r="I59" s="26">
        <f t="shared" si="12"/>
        <v>2181654</v>
      </c>
      <c r="J59" s="27">
        <f t="shared" si="12"/>
        <v>3431909</v>
      </c>
      <c r="K59" s="26">
        <f t="shared" si="12"/>
        <v>2296719</v>
      </c>
      <c r="L59" s="27">
        <f t="shared" si="12"/>
        <v>3374601</v>
      </c>
      <c r="M59" s="26">
        <f t="shared" si="12"/>
        <v>2417496</v>
      </c>
      <c r="N59" s="46">
        <f t="shared" si="12"/>
        <v>6755043</v>
      </c>
      <c r="O59" s="26">
        <f t="shared" si="12"/>
        <v>8235134</v>
      </c>
      <c r="P59" s="46">
        <f t="shared" si="12"/>
        <v>12932353</v>
      </c>
      <c r="Q59" s="47">
        <f t="shared" si="12"/>
        <v>6283018</v>
      </c>
      <c r="R59" s="46">
        <f t="shared" si="12"/>
        <v>12865382</v>
      </c>
      <c r="S59" s="47">
        <f t="shared" si="12"/>
        <v>7378680</v>
      </c>
      <c r="T59" s="46">
        <f t="shared" si="12"/>
        <v>12478330</v>
      </c>
    </row>
    <row r="60" spans="2:20" s="5" customFormat="1" ht="12" thickTop="1" x14ac:dyDescent="0.25">
      <c r="C60" s="21"/>
      <c r="D60" s="22"/>
      <c r="E60" s="21"/>
      <c r="F60" s="23"/>
      <c r="G60" s="21"/>
      <c r="H60" s="23"/>
      <c r="I60" s="21"/>
      <c r="J60" s="22"/>
      <c r="K60" s="21"/>
      <c r="L60" s="22"/>
      <c r="M60" s="21"/>
      <c r="N60" s="22"/>
      <c r="O60" s="21"/>
      <c r="P60" s="22"/>
      <c r="Q60" s="21"/>
      <c r="R60" s="22"/>
      <c r="S60" s="21"/>
      <c r="T60" s="22"/>
    </row>
    <row r="61" spans="2:20" x14ac:dyDescent="0.35">
      <c r="B61" s="5" t="s">
        <v>114</v>
      </c>
    </row>
    <row r="62" spans="2:20" x14ac:dyDescent="0.35">
      <c r="B62" s="5" t="s">
        <v>115</v>
      </c>
    </row>
    <row r="63" spans="2:20" x14ac:dyDescent="0.35">
      <c r="B63" s="5" t="s">
        <v>116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9"/>
  <sheetViews>
    <sheetView showGridLines="0" zoomScale="80" zoomScaleNormal="80" workbookViewId="0">
      <pane xSplit="2" ySplit="1" topLeftCell="C2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4.5" outlineLevelCol="1" x14ac:dyDescent="0.35"/>
  <cols>
    <col min="1" max="1" width="2.453125" customWidth="1"/>
    <col min="2" max="2" width="47.54296875" customWidth="1"/>
    <col min="3" max="3" width="8.7265625" hidden="1" customWidth="1" outlineLevel="1"/>
    <col min="4" max="4" width="11.1796875" customWidth="1" collapsed="1"/>
    <col min="5" max="5" width="8.7265625" hidden="1" customWidth="1" outlineLevel="1"/>
    <col min="6" max="6" width="10" customWidth="1" collapsed="1"/>
    <col min="7" max="7" width="8.7265625" hidden="1" customWidth="1" outlineLevel="1"/>
    <col min="8" max="8" width="12" customWidth="1" collapsed="1"/>
    <col min="9" max="9" width="8.7265625" hidden="1" customWidth="1" outlineLevel="1"/>
    <col min="10" max="10" width="10.1796875" customWidth="1" collapsed="1"/>
    <col min="11" max="11" width="8.7265625" hidden="1" customWidth="1" outlineLevel="1"/>
    <col min="12" max="12" width="11.7265625" customWidth="1" collapsed="1"/>
    <col min="13" max="13" width="8.7265625" hidden="1" customWidth="1" outlineLevel="1"/>
    <col min="14" max="14" width="11.54296875" customWidth="1" collapsed="1"/>
    <col min="15" max="15" width="8.7265625" hidden="1" customWidth="1" outlineLevel="1"/>
    <col min="16" max="16" width="11.54296875" customWidth="1" collapsed="1"/>
    <col min="17" max="17" width="8.7265625" hidden="1" customWidth="1" outlineLevel="1"/>
    <col min="18" max="18" width="11.1796875" customWidth="1" collapsed="1"/>
    <col min="19" max="19" width="10.81640625" hidden="1" customWidth="1" outlineLevel="1"/>
    <col min="20" max="20" width="11.1796875" customWidth="1" collapsed="1"/>
  </cols>
  <sheetData>
    <row r="1" spans="2:20" s="4" customFormat="1" ht="21" customHeight="1" x14ac:dyDescent="0.35">
      <c r="B1" s="1"/>
      <c r="C1" s="2" t="s">
        <v>0</v>
      </c>
      <c r="D1" s="3">
        <v>2016</v>
      </c>
      <c r="E1" s="2" t="s">
        <v>1</v>
      </c>
      <c r="F1" s="1">
        <v>2017</v>
      </c>
      <c r="G1" s="2" t="s">
        <v>2</v>
      </c>
      <c r="H1" s="1">
        <v>2018</v>
      </c>
      <c r="I1" s="2" t="s">
        <v>3</v>
      </c>
      <c r="J1" s="3">
        <v>2019</v>
      </c>
      <c r="K1" s="2" t="s">
        <v>4</v>
      </c>
      <c r="L1" s="3">
        <v>2020</v>
      </c>
      <c r="M1" s="2" t="s">
        <v>5</v>
      </c>
      <c r="N1" s="3">
        <v>2021</v>
      </c>
      <c r="O1" s="2" t="s">
        <v>6</v>
      </c>
      <c r="P1" s="3">
        <v>2022</v>
      </c>
      <c r="Q1" s="2" t="s">
        <v>7</v>
      </c>
      <c r="R1" s="3">
        <v>2023</v>
      </c>
      <c r="S1" s="2" t="s">
        <v>8</v>
      </c>
      <c r="T1" s="3">
        <v>2024</v>
      </c>
    </row>
    <row r="3" spans="2:20" s="20" customFormat="1" ht="18" x14ac:dyDescent="0.4">
      <c r="B3" s="9" t="s">
        <v>117</v>
      </c>
      <c r="C3" s="10"/>
      <c r="D3" s="11"/>
      <c r="E3" s="10"/>
      <c r="F3" s="12"/>
      <c r="G3" s="10"/>
      <c r="H3" s="12"/>
      <c r="I3" s="10"/>
      <c r="J3" s="11"/>
      <c r="K3" s="10"/>
      <c r="L3" s="11"/>
      <c r="M3" s="10"/>
      <c r="N3" s="11"/>
      <c r="O3" s="10"/>
      <c r="P3" s="11"/>
      <c r="Q3" s="10"/>
      <c r="R3" s="11"/>
      <c r="S3" s="10"/>
      <c r="T3" s="11"/>
    </row>
    <row r="4" spans="2:20" s="5" customFormat="1" ht="11.5" x14ac:dyDescent="0.25">
      <c r="B4" s="5" t="s">
        <v>10</v>
      </c>
      <c r="C4" s="21"/>
      <c r="D4" s="22"/>
      <c r="E4" s="21"/>
      <c r="F4" s="23"/>
      <c r="G4" s="21"/>
      <c r="H4" s="23"/>
      <c r="I4" s="21"/>
      <c r="J4" s="22"/>
      <c r="K4" s="21"/>
      <c r="L4" s="22"/>
      <c r="M4" s="21"/>
      <c r="N4" s="22"/>
      <c r="O4" s="21"/>
      <c r="P4" s="22"/>
      <c r="Q4" s="21"/>
      <c r="R4" s="22"/>
      <c r="S4" s="21"/>
      <c r="T4" s="22"/>
    </row>
    <row r="5" spans="2:20" s="5" customFormat="1" ht="11.5" x14ac:dyDescent="0.25">
      <c r="C5" s="21"/>
      <c r="D5" s="22"/>
      <c r="E5" s="21"/>
      <c r="F5" s="23"/>
      <c r="G5" s="21"/>
      <c r="H5" s="23"/>
      <c r="I5" s="21"/>
      <c r="J5" s="22"/>
      <c r="K5" s="21"/>
      <c r="L5" s="22"/>
      <c r="M5" s="21"/>
      <c r="N5" s="22"/>
      <c r="O5" s="21"/>
      <c r="P5" s="22"/>
      <c r="Q5" s="21"/>
      <c r="R5" s="22"/>
      <c r="S5" s="21"/>
      <c r="T5" s="22"/>
    </row>
    <row r="6" spans="2:20" s="5" customFormat="1" ht="11.5" x14ac:dyDescent="0.25">
      <c r="B6" s="48" t="s">
        <v>118</v>
      </c>
      <c r="C6" s="49">
        <v>-64614</v>
      </c>
      <c r="D6" s="50">
        <v>2190646</v>
      </c>
      <c r="E6" s="49">
        <v>69118</v>
      </c>
      <c r="F6" s="51">
        <f>+PL!F45</f>
        <v>372997</v>
      </c>
      <c r="G6" s="49">
        <f>+PL!G45</f>
        <v>176101</v>
      </c>
      <c r="H6" s="51">
        <v>2318671</v>
      </c>
      <c r="I6" s="49">
        <v>1044678</v>
      </c>
      <c r="J6" s="50">
        <v>3284574</v>
      </c>
      <c r="K6" s="49">
        <v>-374322</v>
      </c>
      <c r="L6" s="50">
        <v>3208435</v>
      </c>
      <c r="M6" s="49">
        <v>2043471</v>
      </c>
      <c r="N6" s="50">
        <v>8596775</v>
      </c>
      <c r="O6" s="49">
        <v>8291686</v>
      </c>
      <c r="P6" s="50">
        <v>12066467</v>
      </c>
      <c r="Q6" s="49">
        <v>8665066</v>
      </c>
      <c r="R6" s="50">
        <v>15957966</v>
      </c>
      <c r="S6" s="49">
        <v>-1428674</v>
      </c>
      <c r="T6" s="50">
        <v>7750839</v>
      </c>
    </row>
    <row r="7" spans="2:20" s="5" customFormat="1" ht="11.5" x14ac:dyDescent="0.25">
      <c r="B7" s="5" t="s">
        <v>119</v>
      </c>
      <c r="C7" s="21"/>
      <c r="D7" s="22"/>
      <c r="E7" s="21"/>
      <c r="F7" s="23"/>
      <c r="G7" s="21"/>
      <c r="H7" s="23"/>
      <c r="I7" s="21"/>
      <c r="J7" s="22"/>
      <c r="K7" s="21"/>
      <c r="L7" s="22"/>
      <c r="M7" s="21"/>
      <c r="N7" s="22"/>
      <c r="O7" s="21"/>
      <c r="P7" s="22"/>
      <c r="Q7" s="21"/>
      <c r="R7" s="22"/>
      <c r="S7" s="21"/>
      <c r="T7" s="22"/>
    </row>
    <row r="8" spans="2:20" s="5" customFormat="1" ht="11.5" x14ac:dyDescent="0.25">
      <c r="B8" s="5" t="s">
        <v>120</v>
      </c>
      <c r="C8" s="13">
        <v>33042</v>
      </c>
      <c r="D8" s="14">
        <v>83078</v>
      </c>
      <c r="E8" s="13">
        <v>152863</v>
      </c>
      <c r="F8" s="15">
        <v>237180</v>
      </c>
      <c r="G8" s="13">
        <v>21728</v>
      </c>
      <c r="H8" s="15">
        <v>164766</v>
      </c>
      <c r="I8" s="13">
        <v>191384</v>
      </c>
      <c r="J8" s="14">
        <v>435034</v>
      </c>
      <c r="K8" s="13">
        <v>240009</v>
      </c>
      <c r="L8" s="14">
        <v>498747</v>
      </c>
      <c r="M8" s="13">
        <v>387729</v>
      </c>
      <c r="N8" s="14">
        <v>779822</v>
      </c>
      <c r="O8" s="13">
        <v>451639</v>
      </c>
      <c r="P8" s="14">
        <v>929337</v>
      </c>
      <c r="Q8" s="13">
        <v>574259</v>
      </c>
      <c r="R8" s="14">
        <v>1250526</v>
      </c>
      <c r="S8" s="13">
        <v>843947</v>
      </c>
      <c r="T8" s="14">
        <v>1378639</v>
      </c>
    </row>
    <row r="9" spans="2:20" s="5" customFormat="1" ht="11.5" x14ac:dyDescent="0.25">
      <c r="B9" s="5" t="s">
        <v>121</v>
      </c>
      <c r="C9" s="13">
        <f>+PL!C41*-1</f>
        <v>-16138</v>
      </c>
      <c r="D9" s="14">
        <f>+PL!D41*-1</f>
        <v>-17858</v>
      </c>
      <c r="E9" s="13">
        <f>+PL!E41*-1</f>
        <v>-3178</v>
      </c>
      <c r="F9" s="15">
        <f>+PL!F41*-1</f>
        <v>-20626</v>
      </c>
      <c r="G9" s="13">
        <f>+PL!G41*-1</f>
        <v>-14923</v>
      </c>
      <c r="H9" s="15">
        <v>-29410</v>
      </c>
      <c r="I9" s="13">
        <v>-22742</v>
      </c>
      <c r="J9" s="14">
        <v>-30456</v>
      </c>
      <c r="K9" s="13">
        <v>-6504</v>
      </c>
      <c r="L9" s="14">
        <f>+PL!L41*-1</f>
        <v>-12130</v>
      </c>
      <c r="M9" s="13">
        <v>-23164</v>
      </c>
      <c r="N9" s="14">
        <v>-38513</v>
      </c>
      <c r="O9" s="13">
        <v>-29021</v>
      </c>
      <c r="P9" s="14">
        <v>-87749</v>
      </c>
      <c r="Q9" s="13">
        <v>-49156</v>
      </c>
      <c r="R9" s="14">
        <v>-114443</v>
      </c>
      <c r="S9" s="13">
        <v>-127799</v>
      </c>
      <c r="T9" s="14">
        <v>-331980</v>
      </c>
    </row>
    <row r="10" spans="2:20" s="5" customFormat="1" ht="11.5" x14ac:dyDescent="0.25">
      <c r="B10" s="5" t="s">
        <v>122</v>
      </c>
      <c r="C10" s="13">
        <f>-PL!C42</f>
        <v>350192</v>
      </c>
      <c r="D10" s="14">
        <f>-PL!D42+185781</f>
        <v>638136</v>
      </c>
      <c r="E10" s="13">
        <f>-PL!E42</f>
        <v>103210</v>
      </c>
      <c r="F10" s="14">
        <v>235563</v>
      </c>
      <c r="G10" s="13">
        <f>-PL!G42</f>
        <v>93962</v>
      </c>
      <c r="H10" s="14">
        <v>326296</v>
      </c>
      <c r="I10" s="13">
        <f>-PL!I42</f>
        <v>198120</v>
      </c>
      <c r="J10" s="14">
        <v>285928</v>
      </c>
      <c r="K10" s="13">
        <v>142556</v>
      </c>
      <c r="L10" s="14">
        <f>-PL!L42</f>
        <v>258845</v>
      </c>
      <c r="M10" s="13">
        <v>271018</v>
      </c>
      <c r="N10" s="14">
        <v>590160</v>
      </c>
      <c r="O10" s="13">
        <v>477965</v>
      </c>
      <c r="P10" s="14">
        <v>959332</v>
      </c>
      <c r="Q10" s="13">
        <v>569224</v>
      </c>
      <c r="R10" s="14">
        <v>1275934</v>
      </c>
      <c r="S10" s="13">
        <v>586372</v>
      </c>
      <c r="T10" s="14">
        <v>1330125</v>
      </c>
    </row>
    <row r="11" spans="2:20" s="5" customFormat="1" ht="11.5" x14ac:dyDescent="0.25">
      <c r="B11" s="5" t="s">
        <v>123</v>
      </c>
      <c r="C11" s="13">
        <v>0</v>
      </c>
      <c r="D11" s="14">
        <v>-185781</v>
      </c>
      <c r="E11" s="13">
        <v>0</v>
      </c>
      <c r="F11" s="52">
        <v>-120872</v>
      </c>
      <c r="G11" s="13">
        <v>0</v>
      </c>
      <c r="H11" s="52">
        <f>-78434</f>
        <v>-78434</v>
      </c>
      <c r="I11" s="13">
        <v>0</v>
      </c>
      <c r="J11" s="14">
        <v>0</v>
      </c>
      <c r="K11" s="13">
        <v>0</v>
      </c>
      <c r="L11" s="14">
        <v>0</v>
      </c>
      <c r="M11" s="13">
        <v>0</v>
      </c>
      <c r="N11" s="14">
        <v>0</v>
      </c>
      <c r="O11" s="13">
        <v>0</v>
      </c>
      <c r="P11" s="14">
        <v>0</v>
      </c>
      <c r="Q11" s="13">
        <v>0</v>
      </c>
      <c r="R11" s="14">
        <v>0</v>
      </c>
      <c r="S11" s="13">
        <v>0</v>
      </c>
      <c r="T11" s="14">
        <v>0</v>
      </c>
    </row>
    <row r="12" spans="2:20" s="5" customFormat="1" ht="11.5" x14ac:dyDescent="0.25">
      <c r="B12" s="5" t="s">
        <v>124</v>
      </c>
      <c r="C12" s="13">
        <f>-PL!C43</f>
        <v>-22862</v>
      </c>
      <c r="D12" s="14">
        <f>-PL!D43</f>
        <v>-9529</v>
      </c>
      <c r="E12" s="13">
        <f>-PL!E43</f>
        <v>7781</v>
      </c>
      <c r="F12" s="15">
        <f>-PL!F43</f>
        <v>17088</v>
      </c>
      <c r="G12" s="13">
        <f>-PL!G43</f>
        <v>-30910</v>
      </c>
      <c r="H12" s="15">
        <v>-362</v>
      </c>
      <c r="I12" s="13">
        <v>11870</v>
      </c>
      <c r="J12" s="14">
        <v>46598</v>
      </c>
      <c r="K12" s="13">
        <v>39360</v>
      </c>
      <c r="L12" s="14">
        <f>-PL!L43</f>
        <v>-24842</v>
      </c>
      <c r="M12" s="13">
        <v>25081</v>
      </c>
      <c r="N12" s="14">
        <v>35820</v>
      </c>
      <c r="O12" s="13">
        <v>314438</v>
      </c>
      <c r="P12" s="14">
        <v>205495</v>
      </c>
      <c r="Q12" s="13">
        <v>-181681</v>
      </c>
      <c r="R12" s="14">
        <v>-376573</v>
      </c>
      <c r="S12" s="13">
        <v>113061</v>
      </c>
      <c r="T12" s="14">
        <v>9915</v>
      </c>
    </row>
    <row r="13" spans="2:20" s="5" customFormat="1" ht="11.5" x14ac:dyDescent="0.25">
      <c r="B13" s="5" t="s">
        <v>125</v>
      </c>
      <c r="C13" s="13">
        <v>624</v>
      </c>
      <c r="D13" s="14">
        <v>2896</v>
      </c>
      <c r="E13" s="13">
        <v>2008</v>
      </c>
      <c r="F13" s="15">
        <v>1389</v>
      </c>
      <c r="G13" s="13">
        <v>-39</v>
      </c>
      <c r="H13" s="15">
        <v>320</v>
      </c>
      <c r="I13" s="13">
        <v>121</v>
      </c>
      <c r="J13" s="14">
        <v>2249</v>
      </c>
      <c r="K13" s="13">
        <v>0</v>
      </c>
      <c r="L13" s="14">
        <v>5945</v>
      </c>
      <c r="M13" s="13">
        <v>22686</v>
      </c>
      <c r="N13" s="14">
        <v>30741</v>
      </c>
      <c r="O13" s="13">
        <v>137</v>
      </c>
      <c r="P13" s="14">
        <v>9534</v>
      </c>
      <c r="Q13" s="13">
        <v>40146</v>
      </c>
      <c r="R13" s="14">
        <v>83485</v>
      </c>
      <c r="S13" s="13">
        <v>-11982</v>
      </c>
      <c r="T13" s="14">
        <v>-7421</v>
      </c>
    </row>
    <row r="14" spans="2:20" s="5" customFormat="1" ht="11.5" x14ac:dyDescent="0.25">
      <c r="B14" s="5" t="s">
        <v>126</v>
      </c>
      <c r="C14" s="13">
        <v>0</v>
      </c>
      <c r="D14" s="14">
        <v>0</v>
      </c>
      <c r="E14" s="13">
        <v>0</v>
      </c>
      <c r="F14" s="15">
        <v>0</v>
      </c>
      <c r="G14" s="13">
        <v>0</v>
      </c>
      <c r="H14" s="15">
        <v>0</v>
      </c>
      <c r="I14" s="13">
        <v>0</v>
      </c>
      <c r="J14" s="14">
        <v>0</v>
      </c>
      <c r="K14" s="13">
        <v>0</v>
      </c>
      <c r="L14" s="14">
        <v>0</v>
      </c>
      <c r="M14" s="13">
        <v>0</v>
      </c>
      <c r="N14" s="14">
        <v>0</v>
      </c>
      <c r="O14" s="13">
        <v>0</v>
      </c>
      <c r="P14" s="14">
        <v>0</v>
      </c>
      <c r="Q14" s="13">
        <v>0</v>
      </c>
      <c r="R14" s="14">
        <v>269360</v>
      </c>
      <c r="S14" s="13">
        <v>0</v>
      </c>
      <c r="T14" s="14">
        <v>0</v>
      </c>
    </row>
    <row r="15" spans="2:20" s="5" customFormat="1" ht="11.5" x14ac:dyDescent="0.25">
      <c r="B15" s="5" t="s">
        <v>127</v>
      </c>
      <c r="C15" s="13">
        <f>+PL!C29*-1</f>
        <v>0</v>
      </c>
      <c r="D15" s="14">
        <f>+PL!D29*-1</f>
        <v>0</v>
      </c>
      <c r="E15" s="13">
        <f>+PL!E29*-1</f>
        <v>0</v>
      </c>
      <c r="F15" s="15">
        <f>+PL!F29*-1</f>
        <v>0</v>
      </c>
      <c r="G15" s="13">
        <f>+PL!G29*-1</f>
        <v>0</v>
      </c>
      <c r="H15" s="15">
        <f>+PL!H29*-1</f>
        <v>-8403</v>
      </c>
      <c r="I15" s="13">
        <v>-32222</v>
      </c>
      <c r="J15" s="14">
        <v>-50313</v>
      </c>
      <c r="K15" s="13">
        <v>-29312</v>
      </c>
      <c r="L15" s="14">
        <f>+PL!L29*-1</f>
        <v>-18081</v>
      </c>
      <c r="M15" s="13">
        <v>0</v>
      </c>
      <c r="N15" s="14">
        <v>0</v>
      </c>
      <c r="O15" s="13">
        <v>0</v>
      </c>
      <c r="P15" s="14">
        <v>0</v>
      </c>
      <c r="Q15" s="13">
        <v>0</v>
      </c>
      <c r="R15" s="14">
        <v>0</v>
      </c>
      <c r="S15" s="13">
        <v>0</v>
      </c>
      <c r="T15" s="14">
        <v>0</v>
      </c>
    </row>
    <row r="16" spans="2:20" s="5" customFormat="1" ht="11.5" x14ac:dyDescent="0.25">
      <c r="B16" s="5" t="s">
        <v>128</v>
      </c>
      <c r="C16" s="13">
        <v>70630</v>
      </c>
      <c r="D16" s="14">
        <v>133208</v>
      </c>
      <c r="E16" s="13">
        <v>155944</v>
      </c>
      <c r="F16" s="15">
        <v>177110</v>
      </c>
      <c r="G16" s="13">
        <v>20225</v>
      </c>
      <c r="H16" s="15">
        <v>-17481</v>
      </c>
      <c r="I16" s="13">
        <f>41314</f>
        <v>41314</v>
      </c>
      <c r="J16" s="14">
        <f>428133</f>
        <v>428133</v>
      </c>
      <c r="K16" s="13">
        <f>-23810</f>
        <v>-23810</v>
      </c>
      <c r="L16" s="14">
        <f>-95801</f>
        <v>-95801</v>
      </c>
      <c r="M16" s="13">
        <f>153618</f>
        <v>153618</v>
      </c>
      <c r="N16" s="14">
        <v>153090</v>
      </c>
      <c r="O16" s="13">
        <v>70279</v>
      </c>
      <c r="P16" s="14">
        <v>7259</v>
      </c>
      <c r="Q16" s="13">
        <v>107539</v>
      </c>
      <c r="R16" s="14">
        <v>1140902</v>
      </c>
      <c r="S16" s="13">
        <v>1982519</v>
      </c>
      <c r="T16" s="14">
        <v>2700120</v>
      </c>
    </row>
    <row r="17" spans="2:20" s="5" customFormat="1" ht="11.5" x14ac:dyDescent="0.25">
      <c r="B17" s="5" t="s">
        <v>129</v>
      </c>
      <c r="C17" s="13">
        <v>0</v>
      </c>
      <c r="D17" s="14">
        <v>0</v>
      </c>
      <c r="E17" s="13">
        <v>0</v>
      </c>
      <c r="F17" s="15">
        <v>0</v>
      </c>
      <c r="G17" s="13">
        <v>0</v>
      </c>
      <c r="H17" s="15">
        <v>0</v>
      </c>
      <c r="I17" s="13">
        <f>-5126</f>
        <v>-5126</v>
      </c>
      <c r="J17" s="14">
        <v>-73</v>
      </c>
      <c r="K17" s="13">
        <f>4113</f>
        <v>4113</v>
      </c>
      <c r="L17" s="14">
        <f>14391</f>
        <v>14391</v>
      </c>
      <c r="M17" s="13">
        <f>8988</f>
        <v>8988</v>
      </c>
      <c r="N17" s="14">
        <v>-3328</v>
      </c>
      <c r="O17" s="13">
        <v>-20906</v>
      </c>
      <c r="P17" s="14">
        <v>0</v>
      </c>
      <c r="Q17" s="13">
        <v>-6754</v>
      </c>
      <c r="R17" s="14">
        <v>0</v>
      </c>
      <c r="S17" s="13">
        <v>33748</v>
      </c>
      <c r="T17" s="14">
        <v>0</v>
      </c>
    </row>
    <row r="18" spans="2:20" s="5" customFormat="1" ht="11.5" x14ac:dyDescent="0.25">
      <c r="B18" s="5" t="s">
        <v>130</v>
      </c>
      <c r="C18" s="13">
        <v>132</v>
      </c>
      <c r="D18" s="14">
        <v>3097</v>
      </c>
      <c r="E18" s="13">
        <v>-4028</v>
      </c>
      <c r="F18" s="15">
        <v>8668</v>
      </c>
      <c r="G18" s="13">
        <v>-1341</v>
      </c>
      <c r="H18" s="15">
        <v>17178</v>
      </c>
      <c r="I18" s="13">
        <v>-1816</v>
      </c>
      <c r="J18" s="14">
        <v>1251</v>
      </c>
      <c r="K18" s="13">
        <v>-95</v>
      </c>
      <c r="L18" s="14">
        <v>-1771</v>
      </c>
      <c r="M18" s="13">
        <v>164</v>
      </c>
      <c r="N18" s="14">
        <v>164</v>
      </c>
      <c r="O18" s="13">
        <v>357589</v>
      </c>
      <c r="P18" s="14">
        <v>350606</v>
      </c>
      <c r="Q18" s="13">
        <v>5190</v>
      </c>
      <c r="R18" s="14">
        <v>4962</v>
      </c>
      <c r="S18" s="13">
        <v>9396</v>
      </c>
      <c r="T18" s="14">
        <v>11994</v>
      </c>
    </row>
    <row r="19" spans="2:20" s="5" customFormat="1" ht="11.5" x14ac:dyDescent="0.25">
      <c r="B19" s="5" t="s">
        <v>131</v>
      </c>
      <c r="C19" s="13">
        <v>2715</v>
      </c>
      <c r="D19" s="14">
        <v>39293</v>
      </c>
      <c r="E19" s="13">
        <v>-164</v>
      </c>
      <c r="F19" s="15">
        <v>35937</v>
      </c>
      <c r="G19" s="13">
        <v>443</v>
      </c>
      <c r="H19" s="15">
        <v>-43991</v>
      </c>
      <c r="I19" s="13">
        <v>-250</v>
      </c>
      <c r="J19" s="14">
        <v>-25891</v>
      </c>
      <c r="K19" s="13">
        <v>-916</v>
      </c>
      <c r="L19" s="14">
        <v>-557</v>
      </c>
      <c r="M19" s="13">
        <v>6086</v>
      </c>
      <c r="N19" s="14">
        <v>490</v>
      </c>
      <c r="O19" s="13">
        <v>-1933</v>
      </c>
      <c r="P19" s="14">
        <v>1249</v>
      </c>
      <c r="Q19" s="13">
        <v>208995</v>
      </c>
      <c r="R19" s="14">
        <v>260759</v>
      </c>
      <c r="S19" s="13">
        <v>4960</v>
      </c>
      <c r="T19" s="14">
        <v>73549</v>
      </c>
    </row>
    <row r="20" spans="2:20" s="5" customFormat="1" ht="11.5" x14ac:dyDescent="0.25">
      <c r="B20" s="5" t="s">
        <v>132</v>
      </c>
      <c r="C20" s="13">
        <v>0</v>
      </c>
      <c r="D20" s="14">
        <v>0</v>
      </c>
      <c r="E20" s="13">
        <v>0</v>
      </c>
      <c r="F20" s="15">
        <v>0</v>
      </c>
      <c r="G20" s="13">
        <v>0</v>
      </c>
      <c r="H20" s="15">
        <v>95121</v>
      </c>
      <c r="I20" s="13">
        <v>0</v>
      </c>
      <c r="J20" s="14">
        <v>80189</v>
      </c>
      <c r="K20" s="13">
        <v>0</v>
      </c>
      <c r="L20" s="14">
        <v>0</v>
      </c>
      <c r="M20" s="13">
        <v>5460</v>
      </c>
      <c r="N20" s="14">
        <v>5460</v>
      </c>
      <c r="O20" s="13">
        <v>325094</v>
      </c>
      <c r="P20" s="14">
        <v>325311</v>
      </c>
      <c r="Q20" s="13">
        <v>0</v>
      </c>
      <c r="R20" s="14">
        <v>650813</v>
      </c>
      <c r="S20" s="13">
        <v>0</v>
      </c>
      <c r="T20" s="14">
        <v>117205</v>
      </c>
    </row>
    <row r="21" spans="2:20" s="5" customFormat="1" ht="11.5" x14ac:dyDescent="0.25">
      <c r="B21" s="5" t="s">
        <v>133</v>
      </c>
      <c r="C21" s="13">
        <v>0</v>
      </c>
      <c r="D21" s="14">
        <v>0</v>
      </c>
      <c r="E21" s="13">
        <v>0</v>
      </c>
      <c r="F21" s="15">
        <v>0</v>
      </c>
      <c r="G21" s="13">
        <v>0</v>
      </c>
      <c r="H21" s="15">
        <v>0</v>
      </c>
      <c r="I21" s="13">
        <v>0</v>
      </c>
      <c r="J21" s="14">
        <v>0</v>
      </c>
      <c r="K21" s="13">
        <v>0</v>
      </c>
      <c r="L21" s="14">
        <v>0</v>
      </c>
      <c r="M21" s="13">
        <v>0</v>
      </c>
      <c r="N21" s="14">
        <v>0</v>
      </c>
      <c r="O21" s="13">
        <v>0</v>
      </c>
      <c r="P21" s="14">
        <v>186619</v>
      </c>
      <c r="Q21" s="13">
        <v>0</v>
      </c>
      <c r="R21" s="14">
        <v>0</v>
      </c>
      <c r="S21" s="13">
        <v>0</v>
      </c>
      <c r="T21" s="14">
        <v>0</v>
      </c>
    </row>
    <row r="22" spans="2:20" s="5" customFormat="1" ht="11.5" x14ac:dyDescent="0.25">
      <c r="B22" s="5" t="s">
        <v>134</v>
      </c>
      <c r="C22" s="13">
        <f>+PL!C22*-1</f>
        <v>0</v>
      </c>
      <c r="D22" s="14">
        <f>+PL!D22*-1</f>
        <v>0</v>
      </c>
      <c r="E22" s="13">
        <f>+PL!E22*-1</f>
        <v>0</v>
      </c>
      <c r="F22" s="15">
        <f>+PL!F22*-1</f>
        <v>0</v>
      </c>
      <c r="G22" s="13">
        <f>+PL!G22*-1</f>
        <v>0</v>
      </c>
      <c r="H22" s="15">
        <f>+PL!H22*-1</f>
        <v>-23981</v>
      </c>
      <c r="I22" s="13">
        <v>-11845</v>
      </c>
      <c r="J22" s="14">
        <v>5409</v>
      </c>
      <c r="K22" s="13">
        <v>-43272</v>
      </c>
      <c r="L22" s="14">
        <f>+PL!L22*-1</f>
        <v>12752</v>
      </c>
      <c r="M22" s="13">
        <v>-10632</v>
      </c>
      <c r="N22" s="14">
        <v>-50396</v>
      </c>
      <c r="O22" s="13">
        <v>-142948</v>
      </c>
      <c r="P22" s="14">
        <v>-44006</v>
      </c>
      <c r="Q22" s="13">
        <v>-171223</v>
      </c>
      <c r="R22" s="14">
        <v>51663</v>
      </c>
      <c r="S22" s="13">
        <v>-253055</v>
      </c>
      <c r="T22" s="14">
        <v>49743</v>
      </c>
    </row>
    <row r="23" spans="2:20" s="5" customFormat="1" ht="11.5" x14ac:dyDescent="0.25">
      <c r="B23" s="35" t="s">
        <v>135</v>
      </c>
      <c r="C23" s="13">
        <v>0</v>
      </c>
      <c r="D23" s="14">
        <v>0</v>
      </c>
      <c r="E23" s="13">
        <v>0</v>
      </c>
      <c r="F23" s="15">
        <v>0</v>
      </c>
      <c r="G23" s="13">
        <v>0</v>
      </c>
      <c r="H23" s="15">
        <v>189708</v>
      </c>
      <c r="I23" s="13">
        <v>0</v>
      </c>
      <c r="J23" s="14">
        <v>0</v>
      </c>
      <c r="K23" s="13">
        <v>0</v>
      </c>
      <c r="L23" s="14">
        <v>0</v>
      </c>
      <c r="M23" s="13">
        <v>0</v>
      </c>
      <c r="N23" s="14">
        <v>0</v>
      </c>
      <c r="O23" s="13">
        <v>0</v>
      </c>
      <c r="P23" s="14">
        <v>0</v>
      </c>
      <c r="Q23" s="13">
        <v>0</v>
      </c>
      <c r="R23" s="14">
        <v>0</v>
      </c>
      <c r="S23" s="13">
        <v>0</v>
      </c>
      <c r="T23" s="14">
        <v>0</v>
      </c>
    </row>
    <row r="24" spans="2:20" s="5" customFormat="1" ht="11.5" x14ac:dyDescent="0.25">
      <c r="B24" s="5" t="s">
        <v>136</v>
      </c>
      <c r="C24" s="13">
        <f>+PL!C23*-1</f>
        <v>-455075</v>
      </c>
      <c r="D24" s="14">
        <f>+PL!D23*-1</f>
        <v>-1738741</v>
      </c>
      <c r="E24" s="13">
        <f>+PL!E23*-1</f>
        <v>-81363</v>
      </c>
      <c r="F24" s="15">
        <f>+PL!F23*-1</f>
        <v>-202377</v>
      </c>
      <c r="G24" s="13">
        <f>+PL!G23*-1</f>
        <v>-403218</v>
      </c>
      <c r="H24" s="15">
        <v>-2015298</v>
      </c>
      <c r="I24" s="13">
        <v>757166</v>
      </c>
      <c r="J24" s="14">
        <f>+PL!J23*-1</f>
        <v>-669958</v>
      </c>
      <c r="K24" s="13">
        <v>2255620</v>
      </c>
      <c r="L24" s="14">
        <f>+PL!L23*-1</f>
        <v>-468215</v>
      </c>
      <c r="M24" s="13">
        <v>-281467</v>
      </c>
      <c r="N24" s="14">
        <v>-3169547</v>
      </c>
      <c r="O24" s="13">
        <v>-1454975</v>
      </c>
      <c r="P24" s="14">
        <v>-1611575</v>
      </c>
      <c r="Q24" s="13">
        <v>-3123470</v>
      </c>
      <c r="R24" s="14">
        <v>-6245864</v>
      </c>
      <c r="S24" s="13">
        <v>7977496</v>
      </c>
      <c r="T24" s="14">
        <v>2506447</v>
      </c>
    </row>
    <row r="25" spans="2:20" s="5" customFormat="1" ht="11.5" x14ac:dyDescent="0.25">
      <c r="B25" s="5" t="s">
        <v>137</v>
      </c>
      <c r="C25" s="13">
        <v>0</v>
      </c>
      <c r="D25" s="14">
        <v>0</v>
      </c>
      <c r="E25" s="13">
        <v>0</v>
      </c>
      <c r="F25" s="15">
        <v>0</v>
      </c>
      <c r="G25" s="13">
        <v>0</v>
      </c>
      <c r="H25" s="15">
        <v>0</v>
      </c>
      <c r="I25" s="13">
        <v>0</v>
      </c>
      <c r="J25" s="14">
        <v>0</v>
      </c>
      <c r="K25" s="13">
        <v>0</v>
      </c>
      <c r="L25" s="14">
        <v>-86239</v>
      </c>
      <c r="M25" s="13">
        <v>0</v>
      </c>
      <c r="N25" s="14">
        <v>0</v>
      </c>
      <c r="O25" s="13">
        <v>0</v>
      </c>
      <c r="P25" s="14">
        <v>0</v>
      </c>
      <c r="Q25" s="13">
        <v>0</v>
      </c>
      <c r="R25" s="14">
        <v>0</v>
      </c>
      <c r="S25" s="13">
        <v>0</v>
      </c>
      <c r="T25" s="14">
        <v>-1248</v>
      </c>
    </row>
    <row r="26" spans="2:20" s="5" customFormat="1" ht="11.5" x14ac:dyDescent="0.25">
      <c r="B26" s="5" t="s">
        <v>138</v>
      </c>
      <c r="C26" s="13">
        <v>0</v>
      </c>
      <c r="D26" s="14">
        <v>0</v>
      </c>
      <c r="E26" s="13">
        <v>0</v>
      </c>
      <c r="F26" s="15">
        <v>0</v>
      </c>
      <c r="G26" s="13">
        <v>0</v>
      </c>
      <c r="H26" s="15">
        <v>0</v>
      </c>
      <c r="I26" s="13">
        <v>0</v>
      </c>
      <c r="J26" s="14">
        <v>0</v>
      </c>
      <c r="K26" s="13">
        <v>0</v>
      </c>
      <c r="L26" s="14">
        <v>0</v>
      </c>
      <c r="M26" s="13">
        <v>0</v>
      </c>
      <c r="N26" s="14">
        <v>0</v>
      </c>
      <c r="O26" s="13">
        <v>0</v>
      </c>
      <c r="P26" s="14">
        <v>0</v>
      </c>
      <c r="Q26" s="13">
        <v>0</v>
      </c>
      <c r="R26" s="14">
        <v>141608</v>
      </c>
      <c r="S26" s="13">
        <v>0</v>
      </c>
      <c r="T26" s="14">
        <v>-53316</v>
      </c>
    </row>
    <row r="27" spans="2:20" s="5" customFormat="1" ht="11.5" x14ac:dyDescent="0.25">
      <c r="B27" s="5" t="s">
        <v>139</v>
      </c>
      <c r="C27" s="13">
        <v>0</v>
      </c>
      <c r="D27" s="14">
        <v>0</v>
      </c>
      <c r="E27" s="13">
        <v>0</v>
      </c>
      <c r="F27" s="15">
        <v>0</v>
      </c>
      <c r="G27" s="13">
        <v>0</v>
      </c>
      <c r="H27" s="15">
        <v>0</v>
      </c>
      <c r="I27" s="13">
        <v>0</v>
      </c>
      <c r="J27" s="14">
        <v>0</v>
      </c>
      <c r="K27" s="13">
        <v>0</v>
      </c>
      <c r="L27" s="14">
        <v>0</v>
      </c>
      <c r="M27" s="13">
        <v>0</v>
      </c>
      <c r="N27" s="14">
        <v>0</v>
      </c>
      <c r="O27" s="13">
        <v>0</v>
      </c>
      <c r="P27" s="14">
        <v>0</v>
      </c>
      <c r="Q27" s="13">
        <v>0</v>
      </c>
      <c r="R27" s="14">
        <v>146000</v>
      </c>
      <c r="S27" s="13">
        <v>0</v>
      </c>
      <c r="T27" s="14">
        <v>-146000</v>
      </c>
    </row>
    <row r="28" spans="2:20" s="5" customFormat="1" ht="11.5" x14ac:dyDescent="0.25">
      <c r="B28" s="5" t="s">
        <v>140</v>
      </c>
      <c r="C28" s="13">
        <v>0</v>
      </c>
      <c r="D28" s="14">
        <v>0</v>
      </c>
      <c r="E28" s="13">
        <v>0</v>
      </c>
      <c r="F28" s="15">
        <v>0</v>
      </c>
      <c r="G28" s="13">
        <v>0</v>
      </c>
      <c r="H28" s="15">
        <v>0</v>
      </c>
      <c r="I28" s="13">
        <v>0</v>
      </c>
      <c r="J28" s="14">
        <v>0</v>
      </c>
      <c r="K28" s="13">
        <v>0</v>
      </c>
      <c r="L28" s="14">
        <v>0</v>
      </c>
      <c r="M28" s="13">
        <v>0</v>
      </c>
      <c r="N28" s="14">
        <v>0</v>
      </c>
      <c r="O28" s="13">
        <v>0</v>
      </c>
      <c r="P28" s="14">
        <v>0</v>
      </c>
      <c r="Q28" s="13">
        <v>0</v>
      </c>
      <c r="R28" s="14">
        <v>0</v>
      </c>
      <c r="S28" s="13">
        <f>-146000+-107172+-75460</f>
        <v>-328632</v>
      </c>
      <c r="T28" s="14">
        <v>-75460</v>
      </c>
    </row>
    <row r="29" spans="2:20" s="5" customFormat="1" ht="11.5" x14ac:dyDescent="0.25">
      <c r="B29" s="5" t="s">
        <v>141</v>
      </c>
      <c r="C29" s="13">
        <v>0</v>
      </c>
      <c r="D29" s="14">
        <v>0</v>
      </c>
      <c r="E29" s="13">
        <v>0</v>
      </c>
      <c r="F29" s="15">
        <v>0</v>
      </c>
      <c r="G29" s="13">
        <v>0</v>
      </c>
      <c r="H29" s="15">
        <v>0</v>
      </c>
      <c r="I29" s="13">
        <v>0</v>
      </c>
      <c r="J29" s="14">
        <v>0</v>
      </c>
      <c r="K29" s="13">
        <v>0</v>
      </c>
      <c r="L29" s="14">
        <v>0</v>
      </c>
      <c r="M29" s="13">
        <v>0</v>
      </c>
      <c r="N29" s="14">
        <v>0</v>
      </c>
      <c r="O29" s="13">
        <v>0</v>
      </c>
      <c r="P29" s="14">
        <v>0</v>
      </c>
      <c r="Q29" s="13">
        <v>0</v>
      </c>
      <c r="R29" s="14">
        <v>0</v>
      </c>
      <c r="S29" s="13">
        <v>0</v>
      </c>
      <c r="T29" s="14">
        <v>24685</v>
      </c>
    </row>
    <row r="30" spans="2:20" s="5" customFormat="1" ht="11.5" x14ac:dyDescent="0.25">
      <c r="B30" s="5" t="s">
        <v>142</v>
      </c>
      <c r="C30" s="13">
        <v>0</v>
      </c>
      <c r="D30" s="14">
        <v>0</v>
      </c>
      <c r="E30" s="13">
        <v>0</v>
      </c>
      <c r="F30" s="15">
        <v>0</v>
      </c>
      <c r="G30" s="13">
        <v>0</v>
      </c>
      <c r="H30" s="15">
        <v>0</v>
      </c>
      <c r="I30" s="13"/>
      <c r="J30" s="14">
        <v>23634</v>
      </c>
      <c r="K30" s="13">
        <v>-10</v>
      </c>
      <c r="L30" s="14">
        <v>10972</v>
      </c>
      <c r="M30" s="13">
        <v>-1800</v>
      </c>
      <c r="N30" s="14">
        <v>9931</v>
      </c>
      <c r="O30" s="13">
        <v>36707</v>
      </c>
      <c r="P30" s="14">
        <v>39762</v>
      </c>
      <c r="Q30" s="13">
        <v>23806</v>
      </c>
      <c r="R30" s="14">
        <v>85558</v>
      </c>
      <c r="S30" s="13">
        <v>-14864</v>
      </c>
      <c r="T30" s="14">
        <v>118656</v>
      </c>
    </row>
    <row r="31" spans="2:20" s="5" customFormat="1" ht="11.5" x14ac:dyDescent="0.25">
      <c r="B31" s="5" t="s">
        <v>143</v>
      </c>
      <c r="C31" s="13">
        <f t="shared" ref="C31:T31" si="0">SUM(C6:C30)</f>
        <v>-101354</v>
      </c>
      <c r="D31" s="14">
        <f t="shared" si="0"/>
        <v>1138445</v>
      </c>
      <c r="E31" s="13">
        <f t="shared" si="0"/>
        <v>402191</v>
      </c>
      <c r="F31" s="15">
        <f t="shared" si="0"/>
        <v>742057</v>
      </c>
      <c r="G31" s="13">
        <f t="shared" si="0"/>
        <v>-137972</v>
      </c>
      <c r="H31" s="15">
        <f t="shared" si="0"/>
        <v>894700</v>
      </c>
      <c r="I31" s="13">
        <f t="shared" si="0"/>
        <v>2170652</v>
      </c>
      <c r="J31" s="14">
        <f t="shared" si="0"/>
        <v>3816308</v>
      </c>
      <c r="K31" s="13">
        <f t="shared" si="0"/>
        <v>2203417</v>
      </c>
      <c r="L31" s="14">
        <f t="shared" si="0"/>
        <v>3302451</v>
      </c>
      <c r="M31" s="13">
        <f t="shared" si="0"/>
        <v>2607238</v>
      </c>
      <c r="N31" s="14">
        <f t="shared" si="0"/>
        <v>6940669</v>
      </c>
      <c r="O31" s="13">
        <f t="shared" si="0"/>
        <v>8675751</v>
      </c>
      <c r="P31" s="14">
        <f t="shared" si="0"/>
        <v>13337641</v>
      </c>
      <c r="Q31" s="13">
        <f t="shared" si="0"/>
        <v>6661941</v>
      </c>
      <c r="R31" s="14">
        <f t="shared" si="0"/>
        <v>14582656</v>
      </c>
      <c r="S31" s="13">
        <f t="shared" si="0"/>
        <v>9386493</v>
      </c>
      <c r="T31" s="14">
        <f t="shared" si="0"/>
        <v>15456492</v>
      </c>
    </row>
    <row r="32" spans="2:20" s="5" customFormat="1" ht="11.5" x14ac:dyDescent="0.25">
      <c r="B32" s="5" t="s">
        <v>144</v>
      </c>
      <c r="C32" s="13"/>
      <c r="D32" s="14"/>
      <c r="E32" s="13"/>
      <c r="F32" s="15"/>
      <c r="G32" s="13"/>
      <c r="H32" s="15"/>
      <c r="I32" s="13"/>
      <c r="J32" s="14"/>
      <c r="K32" s="13"/>
      <c r="L32" s="14"/>
      <c r="M32" s="13"/>
      <c r="N32" s="14"/>
      <c r="O32" s="13"/>
      <c r="P32" s="14"/>
      <c r="Q32" s="13"/>
      <c r="R32" s="14"/>
      <c r="S32" s="13"/>
      <c r="T32" s="14"/>
    </row>
    <row r="33" spans="2:20" s="5" customFormat="1" ht="11.5" x14ac:dyDescent="0.25">
      <c r="B33" s="5" t="s">
        <v>145</v>
      </c>
      <c r="C33" s="13"/>
      <c r="D33" s="14"/>
      <c r="E33" s="13"/>
      <c r="F33" s="15"/>
      <c r="G33" s="13"/>
      <c r="H33" s="15"/>
      <c r="I33" s="13"/>
      <c r="J33" s="14"/>
      <c r="K33" s="13"/>
      <c r="L33" s="14"/>
      <c r="M33" s="13"/>
      <c r="N33" s="14"/>
      <c r="O33" s="13"/>
      <c r="P33" s="14"/>
      <c r="Q33" s="13"/>
      <c r="R33" s="14"/>
      <c r="S33" s="13"/>
      <c r="T33" s="14"/>
    </row>
    <row r="34" spans="2:20" s="5" customFormat="1" ht="11.5" x14ac:dyDescent="0.25">
      <c r="B34" s="5" t="s">
        <v>146</v>
      </c>
      <c r="C34" s="13">
        <v>-124417</v>
      </c>
      <c r="D34" s="14">
        <v>-704901</v>
      </c>
      <c r="E34" s="13">
        <v>1803783</v>
      </c>
      <c r="F34" s="15">
        <v>1723516</v>
      </c>
      <c r="G34" s="13">
        <v>-1025073</v>
      </c>
      <c r="H34" s="15">
        <v>-144606</v>
      </c>
      <c r="I34" s="13">
        <v>-329648</v>
      </c>
      <c r="J34" s="14">
        <v>-248555</v>
      </c>
      <c r="K34" s="13">
        <v>-434616</v>
      </c>
      <c r="L34" s="14">
        <f>+-329744</f>
        <v>-329744</v>
      </c>
      <c r="M34" s="13">
        <v>-358351</v>
      </c>
      <c r="N34" s="14">
        <v>-871364</v>
      </c>
      <c r="O34" s="13">
        <v>-1334432</v>
      </c>
      <c r="P34" s="14">
        <v>-1749647</v>
      </c>
      <c r="Q34" s="13">
        <v>-2951378</v>
      </c>
      <c r="R34" s="14">
        <v>-2141887</v>
      </c>
      <c r="S34" s="13">
        <v>219398</v>
      </c>
      <c r="T34" s="14">
        <v>1784571</v>
      </c>
    </row>
    <row r="35" spans="2:20" s="5" customFormat="1" ht="11.5" x14ac:dyDescent="0.25">
      <c r="B35" s="5" t="s">
        <v>147</v>
      </c>
      <c r="C35" s="13">
        <v>0</v>
      </c>
      <c r="D35" s="14">
        <v>0</v>
      </c>
      <c r="E35" s="13">
        <v>0</v>
      </c>
      <c r="F35" s="15">
        <v>0</v>
      </c>
      <c r="G35" s="13">
        <v>0</v>
      </c>
      <c r="H35" s="15">
        <v>-2375136</v>
      </c>
      <c r="I35" s="13">
        <v>621671</v>
      </c>
      <c r="J35" s="14">
        <v>-529897</v>
      </c>
      <c r="K35" s="13">
        <v>739669</v>
      </c>
      <c r="L35" s="14">
        <v>-2221641</v>
      </c>
      <c r="M35" s="13">
        <v>207019</v>
      </c>
      <c r="N35" s="14">
        <v>-1668521</v>
      </c>
      <c r="O35" s="13">
        <v>309139</v>
      </c>
      <c r="P35" s="14">
        <v>-3794774</v>
      </c>
      <c r="Q35" s="13">
        <v>748684</v>
      </c>
      <c r="R35" s="14">
        <v>-3169650</v>
      </c>
      <c r="S35" s="13">
        <v>2463256</v>
      </c>
      <c r="T35" s="14">
        <v>-3194515</v>
      </c>
    </row>
    <row r="36" spans="2:20" s="5" customFormat="1" ht="11.5" x14ac:dyDescent="0.25">
      <c r="B36" s="5" t="s">
        <v>148</v>
      </c>
      <c r="C36" s="13">
        <v>156416</v>
      </c>
      <c r="D36" s="14">
        <v>-141048</v>
      </c>
      <c r="E36" s="13">
        <v>130654</v>
      </c>
      <c r="F36" s="15">
        <v>290883</v>
      </c>
      <c r="G36" s="13">
        <v>-45136</v>
      </c>
      <c r="H36" s="15">
        <v>-323075</v>
      </c>
      <c r="I36" s="13">
        <v>242612</v>
      </c>
      <c r="J36" s="14">
        <v>-323826</v>
      </c>
      <c r="K36" s="13">
        <v>463213</v>
      </c>
      <c r="L36" s="14">
        <v>94578</v>
      </c>
      <c r="M36" s="13">
        <v>-61836</v>
      </c>
      <c r="N36" s="14">
        <v>-1071739</v>
      </c>
      <c r="O36" s="13">
        <v>-262873</v>
      </c>
      <c r="P36" s="14">
        <v>-1189282</v>
      </c>
      <c r="Q36" s="13">
        <v>832378</v>
      </c>
      <c r="R36" s="14">
        <v>-190529</v>
      </c>
      <c r="S36" s="13">
        <v>1128816</v>
      </c>
      <c r="T36" s="14">
        <v>415547</v>
      </c>
    </row>
    <row r="37" spans="2:20" s="5" customFormat="1" ht="11.5" x14ac:dyDescent="0.25">
      <c r="B37" s="5" t="s">
        <v>149</v>
      </c>
      <c r="C37" s="13">
        <v>-52716</v>
      </c>
      <c r="D37" s="14">
        <v>7744</v>
      </c>
      <c r="E37" s="13">
        <v>-9745</v>
      </c>
      <c r="F37" s="15">
        <v>-2240</v>
      </c>
      <c r="G37" s="13">
        <v>-260148</v>
      </c>
      <c r="H37" s="15">
        <v>-15450</v>
      </c>
      <c r="I37" s="13">
        <v>-28717</v>
      </c>
      <c r="J37" s="14">
        <v>-15044</v>
      </c>
      <c r="K37" s="13">
        <v>-148971</v>
      </c>
      <c r="L37" s="14">
        <v>955</v>
      </c>
      <c r="M37" s="13">
        <v>-279184</v>
      </c>
      <c r="N37" s="14">
        <v>-24348</v>
      </c>
      <c r="O37" s="13">
        <v>-16296</v>
      </c>
      <c r="P37" s="14">
        <v>9648</v>
      </c>
      <c r="Q37" s="13">
        <v>-43189</v>
      </c>
      <c r="R37" s="14">
        <v>-77879</v>
      </c>
      <c r="S37" s="13">
        <v>41832</v>
      </c>
      <c r="T37" s="14">
        <v>81078</v>
      </c>
    </row>
    <row r="38" spans="2:20" s="5" customFormat="1" ht="11.5" x14ac:dyDescent="0.25">
      <c r="B38" s="5" t="s">
        <v>150</v>
      </c>
      <c r="C38" s="13">
        <v>-96056</v>
      </c>
      <c r="D38" s="14">
        <v>-269611</v>
      </c>
      <c r="E38" s="13">
        <v>105380</v>
      </c>
      <c r="F38" s="15">
        <v>34737</v>
      </c>
      <c r="G38" s="13">
        <v>81072</v>
      </c>
      <c r="H38" s="15">
        <v>90538</v>
      </c>
      <c r="I38" s="13">
        <v>-65390</v>
      </c>
      <c r="J38" s="14">
        <v>-22557</v>
      </c>
      <c r="K38" s="13">
        <v>1248</v>
      </c>
      <c r="L38" s="14">
        <v>-177583</v>
      </c>
      <c r="M38" s="13">
        <v>-148072</v>
      </c>
      <c r="N38" s="14">
        <v>-180878</v>
      </c>
      <c r="O38" s="13">
        <v>-1424615</v>
      </c>
      <c r="P38" s="14">
        <v>-3069629</v>
      </c>
      <c r="Q38" s="13">
        <v>-94885</v>
      </c>
      <c r="R38" s="14">
        <v>484730</v>
      </c>
      <c r="S38" s="13">
        <v>-1569169</v>
      </c>
      <c r="T38" s="14">
        <v>-526566</v>
      </c>
    </row>
    <row r="39" spans="2:20" s="5" customFormat="1" ht="11.5" x14ac:dyDescent="0.25">
      <c r="B39" s="5" t="s">
        <v>151</v>
      </c>
      <c r="C39" s="13">
        <v>68586</v>
      </c>
      <c r="D39" s="14">
        <v>35444</v>
      </c>
      <c r="E39" s="13">
        <v>-9052</v>
      </c>
      <c r="F39" s="15">
        <v>-39983</v>
      </c>
      <c r="G39" s="13">
        <v>141550</v>
      </c>
      <c r="H39" s="15">
        <v>210111</v>
      </c>
      <c r="I39" s="13">
        <v>-66516</v>
      </c>
      <c r="J39" s="14">
        <v>-16710</v>
      </c>
      <c r="K39" s="13">
        <v>-25560</v>
      </c>
      <c r="L39" s="14">
        <v>105684</v>
      </c>
      <c r="M39" s="13">
        <v>144139</v>
      </c>
      <c r="N39" s="14">
        <v>94627</v>
      </c>
      <c r="O39" s="13">
        <v>-411400</v>
      </c>
      <c r="P39" s="14">
        <v>753705</v>
      </c>
      <c r="Q39" s="13">
        <v>-214349</v>
      </c>
      <c r="R39" s="14">
        <v>54483</v>
      </c>
      <c r="S39" s="13">
        <v>17346</v>
      </c>
      <c r="T39" s="14">
        <v>11807</v>
      </c>
    </row>
    <row r="40" spans="2:20" s="5" customFormat="1" ht="11.5" x14ac:dyDescent="0.25">
      <c r="B40" s="5" t="s">
        <v>152</v>
      </c>
      <c r="C40" s="13">
        <v>-50820</v>
      </c>
      <c r="D40" s="14">
        <v>131687</v>
      </c>
      <c r="E40" s="13">
        <v>-73583</v>
      </c>
      <c r="F40" s="15">
        <v>-193874</v>
      </c>
      <c r="G40" s="13">
        <v>-32191</v>
      </c>
      <c r="H40" s="15">
        <v>154514</v>
      </c>
      <c r="I40" s="13">
        <v>58</v>
      </c>
      <c r="J40" s="14">
        <v>-8676</v>
      </c>
      <c r="K40" s="13">
        <v>-23583</v>
      </c>
      <c r="L40" s="14">
        <v>55111</v>
      </c>
      <c r="M40" s="13">
        <v>-13901</v>
      </c>
      <c r="N40" s="14">
        <v>65331</v>
      </c>
      <c r="O40" s="13">
        <v>43426</v>
      </c>
      <c r="P40" s="14">
        <v>36534</v>
      </c>
      <c r="Q40" s="13">
        <v>117910</v>
      </c>
      <c r="R40" s="14">
        <v>71309</v>
      </c>
      <c r="S40" s="13">
        <v>195240</v>
      </c>
      <c r="T40" s="14">
        <v>104355</v>
      </c>
    </row>
    <row r="41" spans="2:20" s="5" customFormat="1" ht="11.5" x14ac:dyDescent="0.25">
      <c r="B41" s="5" t="s">
        <v>153</v>
      </c>
      <c r="C41" s="13">
        <v>262</v>
      </c>
      <c r="D41" s="14">
        <v>3565</v>
      </c>
      <c r="E41" s="13">
        <v>-3135</v>
      </c>
      <c r="F41" s="15">
        <v>-2381</v>
      </c>
      <c r="G41" s="13">
        <v>-1194</v>
      </c>
      <c r="H41" s="15">
        <v>34384</v>
      </c>
      <c r="I41" s="13">
        <v>-28752</v>
      </c>
      <c r="J41" s="14">
        <v>34461</v>
      </c>
      <c r="K41" s="13">
        <v>-43059</v>
      </c>
      <c r="L41" s="14">
        <v>-1065</v>
      </c>
      <c r="M41" s="13">
        <v>-47231</v>
      </c>
      <c r="N41" s="14">
        <v>29139</v>
      </c>
      <c r="O41" s="13">
        <v>-57851</v>
      </c>
      <c r="P41" s="14">
        <v>-29409</v>
      </c>
      <c r="Q41" s="13">
        <v>10965</v>
      </c>
      <c r="R41" s="14">
        <v>60172</v>
      </c>
      <c r="S41" s="13">
        <v>-73505</v>
      </c>
      <c r="T41" s="14">
        <v>-66710</v>
      </c>
    </row>
    <row r="42" spans="2:20" s="5" customFormat="1" ht="11.5" x14ac:dyDescent="0.25">
      <c r="B42" s="5" t="s">
        <v>154</v>
      </c>
      <c r="C42" s="13">
        <v>8800</v>
      </c>
      <c r="D42" s="14">
        <v>12480</v>
      </c>
      <c r="E42" s="13">
        <v>-8479</v>
      </c>
      <c r="F42" s="15">
        <v>-1713</v>
      </c>
      <c r="G42" s="13">
        <v>-18317</v>
      </c>
      <c r="H42" s="15">
        <v>12835</v>
      </c>
      <c r="I42" s="13">
        <v>-154081</v>
      </c>
      <c r="J42" s="14">
        <v>44629</v>
      </c>
      <c r="K42" s="13">
        <v>-202938</v>
      </c>
      <c r="L42" s="14">
        <v>-72661</v>
      </c>
      <c r="M42" s="13">
        <v>-82677</v>
      </c>
      <c r="N42" s="14">
        <v>609424</v>
      </c>
      <c r="O42" s="13">
        <v>2327</v>
      </c>
      <c r="P42" s="14">
        <v>-385411</v>
      </c>
      <c r="Q42" s="13">
        <v>83741</v>
      </c>
      <c r="R42" s="14">
        <v>470528</v>
      </c>
      <c r="S42" s="13">
        <v>-86832</v>
      </c>
      <c r="T42" s="14">
        <v>-540288</v>
      </c>
    </row>
    <row r="43" spans="2:20" s="5" customFormat="1" ht="11.5" x14ac:dyDescent="0.25">
      <c r="B43" s="5" t="s">
        <v>145</v>
      </c>
      <c r="C43" s="13">
        <f>SUM(C34:C42)</f>
        <v>-89945</v>
      </c>
      <c r="D43" s="14">
        <f>SUM(D34:D42)</f>
        <v>-924640</v>
      </c>
      <c r="E43" s="13">
        <f>SUM(E34:E42)</f>
        <v>1935823</v>
      </c>
      <c r="F43" s="15">
        <f>SUM(F34:F42)</f>
        <v>1808945</v>
      </c>
      <c r="G43" s="13">
        <f t="shared" ref="G43:T43" si="1">SUM(G34:G42)</f>
        <v>-1159437</v>
      </c>
      <c r="H43" s="15">
        <f t="shared" si="1"/>
        <v>-2355885</v>
      </c>
      <c r="I43" s="13">
        <f t="shared" si="1"/>
        <v>191237</v>
      </c>
      <c r="J43" s="14">
        <f t="shared" si="1"/>
        <v>-1086175</v>
      </c>
      <c r="K43" s="13">
        <f t="shared" si="1"/>
        <v>325403</v>
      </c>
      <c r="L43" s="14">
        <f>SUM(L34:L42)</f>
        <v>-2546366</v>
      </c>
      <c r="M43" s="13">
        <f t="shared" si="1"/>
        <v>-640094</v>
      </c>
      <c r="N43" s="14">
        <f t="shared" si="1"/>
        <v>-3018329</v>
      </c>
      <c r="O43" s="13">
        <f t="shared" si="1"/>
        <v>-3152575</v>
      </c>
      <c r="P43" s="14">
        <f t="shared" si="1"/>
        <v>-9418265</v>
      </c>
      <c r="Q43" s="13">
        <f t="shared" si="1"/>
        <v>-1510123</v>
      </c>
      <c r="R43" s="14">
        <f t="shared" si="1"/>
        <v>-4438723</v>
      </c>
      <c r="S43" s="13">
        <f t="shared" si="1"/>
        <v>2336382</v>
      </c>
      <c r="T43" s="14">
        <f t="shared" si="1"/>
        <v>-1930721</v>
      </c>
    </row>
    <row r="44" spans="2:20" s="5" customFormat="1" ht="11.5" x14ac:dyDescent="0.25">
      <c r="C44" s="13"/>
      <c r="D44" s="14"/>
      <c r="E44" s="13"/>
      <c r="F44" s="15"/>
      <c r="G44" s="13"/>
      <c r="H44" s="15"/>
      <c r="I44" s="13"/>
      <c r="J44" s="14"/>
      <c r="K44" s="13"/>
      <c r="L44" s="14"/>
      <c r="M44" s="13"/>
      <c r="N44" s="14"/>
      <c r="O44" s="13"/>
      <c r="P44" s="14"/>
      <c r="Q44" s="13"/>
      <c r="R44" s="14"/>
      <c r="S44" s="13"/>
      <c r="T44" s="14"/>
    </row>
    <row r="45" spans="2:20" s="5" customFormat="1" ht="11.5" x14ac:dyDescent="0.25">
      <c r="B45" s="20" t="s">
        <v>155</v>
      </c>
      <c r="C45" s="18">
        <f>SUM(C43,C31)</f>
        <v>-191299</v>
      </c>
      <c r="D45" s="19">
        <f t="shared" ref="D45:T45" si="2">SUM(D43,D31)</f>
        <v>213805</v>
      </c>
      <c r="E45" s="18">
        <f t="shared" si="2"/>
        <v>2338014</v>
      </c>
      <c r="F45" s="24">
        <f t="shared" si="2"/>
        <v>2551002</v>
      </c>
      <c r="G45" s="18">
        <f t="shared" si="2"/>
        <v>-1297409</v>
      </c>
      <c r="H45" s="18">
        <f t="shared" si="2"/>
        <v>-1461185</v>
      </c>
      <c r="I45" s="18">
        <f t="shared" si="2"/>
        <v>2361889</v>
      </c>
      <c r="J45" s="19">
        <f t="shared" si="2"/>
        <v>2730133</v>
      </c>
      <c r="K45" s="18">
        <f t="shared" si="2"/>
        <v>2528820</v>
      </c>
      <c r="L45" s="19">
        <f>SUM(L43,L31)</f>
        <v>756085</v>
      </c>
      <c r="M45" s="18">
        <f t="shared" si="2"/>
        <v>1967144</v>
      </c>
      <c r="N45" s="19">
        <f t="shared" si="2"/>
        <v>3922340</v>
      </c>
      <c r="O45" s="18">
        <f t="shared" si="2"/>
        <v>5523176</v>
      </c>
      <c r="P45" s="19">
        <f t="shared" si="2"/>
        <v>3919376</v>
      </c>
      <c r="Q45" s="18">
        <f t="shared" si="2"/>
        <v>5151818</v>
      </c>
      <c r="R45" s="19">
        <f t="shared" si="2"/>
        <v>10143933</v>
      </c>
      <c r="S45" s="18">
        <f t="shared" si="2"/>
        <v>11722875</v>
      </c>
      <c r="T45" s="19">
        <f t="shared" si="2"/>
        <v>13525771</v>
      </c>
    </row>
    <row r="46" spans="2:20" s="5" customFormat="1" ht="11.5" x14ac:dyDescent="0.25">
      <c r="B46" s="20"/>
      <c r="C46" s="29"/>
      <c r="D46" s="30"/>
      <c r="E46" s="29"/>
      <c r="F46" s="53"/>
      <c r="G46" s="29"/>
      <c r="H46" s="54"/>
      <c r="I46" s="29"/>
      <c r="J46" s="30"/>
      <c r="K46" s="29"/>
      <c r="L46" s="30"/>
      <c r="M46" s="29"/>
      <c r="N46" s="30"/>
      <c r="O46" s="29"/>
      <c r="P46" s="30"/>
      <c r="Q46" s="29"/>
      <c r="R46" s="30"/>
      <c r="S46" s="29"/>
      <c r="T46" s="30"/>
    </row>
    <row r="47" spans="2:20" s="5" customFormat="1" ht="11.5" x14ac:dyDescent="0.25">
      <c r="B47" s="5" t="s">
        <v>156</v>
      </c>
      <c r="C47" s="13">
        <v>0</v>
      </c>
      <c r="D47" s="14">
        <v>0</v>
      </c>
      <c r="E47" s="13">
        <v>-5441</v>
      </c>
      <c r="F47" s="15">
        <v>-10708</v>
      </c>
      <c r="G47" s="13">
        <v>-8176</v>
      </c>
      <c r="H47" s="15">
        <v>-10770</v>
      </c>
      <c r="I47" s="13">
        <v>-39127</v>
      </c>
      <c r="J47" s="14">
        <v>-4759</v>
      </c>
      <c r="K47" s="13">
        <v>-5787</v>
      </c>
      <c r="L47" s="14">
        <v>-3253</v>
      </c>
      <c r="M47" s="13">
        <v>-37703</v>
      </c>
      <c r="N47" s="14">
        <v>-97390</v>
      </c>
      <c r="O47" s="13">
        <v>-24435</v>
      </c>
      <c r="P47" s="14">
        <v>-135396</v>
      </c>
      <c r="Q47" s="13">
        <v>-32039</v>
      </c>
      <c r="R47" s="14">
        <v>-350580</v>
      </c>
      <c r="S47" s="13">
        <v>-98143</v>
      </c>
      <c r="T47" s="14">
        <v>-109624</v>
      </c>
    </row>
    <row r="48" spans="2:20" s="5" customFormat="1" ht="11.5" x14ac:dyDescent="0.25">
      <c r="B48" s="5" t="s">
        <v>157</v>
      </c>
      <c r="C48" s="13">
        <v>49441</v>
      </c>
      <c r="D48" s="14">
        <v>37656</v>
      </c>
      <c r="E48" s="13">
        <v>42253</v>
      </c>
      <c r="F48" s="15">
        <v>20626</v>
      </c>
      <c r="G48" s="13">
        <v>14923</v>
      </c>
      <c r="H48" s="15">
        <v>16305</v>
      </c>
      <c r="I48" s="13">
        <v>30059</v>
      </c>
      <c r="J48" s="14">
        <v>42459</v>
      </c>
      <c r="K48" s="13">
        <v>4994</v>
      </c>
      <c r="L48" s="14">
        <v>8676</v>
      </c>
      <c r="M48" s="13">
        <v>18921</v>
      </c>
      <c r="N48" s="14">
        <v>37378</v>
      </c>
      <c r="O48" s="13">
        <v>24100</v>
      </c>
      <c r="P48" s="14">
        <v>78379</v>
      </c>
      <c r="Q48" s="13">
        <v>29419</v>
      </c>
      <c r="R48" s="14">
        <v>92394</v>
      </c>
      <c r="S48" s="13">
        <v>118776</v>
      </c>
      <c r="T48" s="14">
        <v>311264</v>
      </c>
    </row>
    <row r="49" spans="2:20" s="5" customFormat="1" ht="11.5" x14ac:dyDescent="0.25">
      <c r="B49" s="5" t="s">
        <v>158</v>
      </c>
      <c r="C49" s="13">
        <v>0</v>
      </c>
      <c r="D49" s="14">
        <v>185781</v>
      </c>
      <c r="E49" s="13">
        <v>0</v>
      </c>
      <c r="F49" s="15">
        <v>120872</v>
      </c>
      <c r="G49" s="13">
        <v>0</v>
      </c>
      <c r="H49" s="15">
        <v>78434</v>
      </c>
      <c r="I49" s="13">
        <v>4723</v>
      </c>
      <c r="J49" s="14">
        <v>133311</v>
      </c>
      <c r="K49" s="13">
        <v>27990</v>
      </c>
      <c r="L49" s="14">
        <v>102908</v>
      </c>
      <c r="M49" s="13">
        <v>3065</v>
      </c>
      <c r="N49" s="14">
        <v>79040</v>
      </c>
      <c r="O49" s="13">
        <v>0</v>
      </c>
      <c r="P49" s="14">
        <v>8611</v>
      </c>
      <c r="Q49" s="13">
        <v>0</v>
      </c>
      <c r="R49" s="14">
        <v>10738</v>
      </c>
      <c r="S49" s="13">
        <v>0</v>
      </c>
      <c r="T49" s="14">
        <v>0</v>
      </c>
    </row>
    <row r="50" spans="2:20" s="5" customFormat="1" ht="11.5" x14ac:dyDescent="0.25">
      <c r="B50" s="5" t="s">
        <v>159</v>
      </c>
      <c r="C50" s="13">
        <v>-309967</v>
      </c>
      <c r="D50" s="14">
        <v>-597911</v>
      </c>
      <c r="E50" s="13">
        <v>-143125</v>
      </c>
      <c r="F50" s="15">
        <v>-240826</v>
      </c>
      <c r="G50" s="13">
        <v>-104468</v>
      </c>
      <c r="H50" s="15">
        <v>-343542</v>
      </c>
      <c r="I50" s="13">
        <v>-214338</v>
      </c>
      <c r="J50" s="14">
        <v>-431915</v>
      </c>
      <c r="K50" s="13">
        <v>-169105</v>
      </c>
      <c r="L50" s="14">
        <v>-360559</v>
      </c>
      <c r="M50" s="13">
        <v>-184732</v>
      </c>
      <c r="N50" s="14">
        <v>-575887</v>
      </c>
      <c r="O50" s="13">
        <v>-486586</v>
      </c>
      <c r="P50" s="14">
        <v>-980062</v>
      </c>
      <c r="Q50" s="13">
        <v>-579512</v>
      </c>
      <c r="R50" s="14">
        <v>-1249790</v>
      </c>
      <c r="S50" s="13">
        <v>-732221</v>
      </c>
      <c r="T50" s="14">
        <v>-1494839</v>
      </c>
    </row>
    <row r="51" spans="2:20" s="5" customFormat="1" ht="11.5" x14ac:dyDescent="0.25">
      <c r="B51" s="5" t="s">
        <v>160</v>
      </c>
      <c r="C51" s="13">
        <v>0</v>
      </c>
      <c r="D51" s="14">
        <v>0</v>
      </c>
      <c r="E51" s="13">
        <v>0</v>
      </c>
      <c r="F51" s="15">
        <v>0</v>
      </c>
      <c r="G51" s="13">
        <v>0</v>
      </c>
      <c r="H51" s="15">
        <v>0</v>
      </c>
      <c r="I51" s="13">
        <v>0</v>
      </c>
      <c r="J51" s="14">
        <v>0</v>
      </c>
      <c r="K51" s="13">
        <v>0</v>
      </c>
      <c r="L51" s="14">
        <v>0</v>
      </c>
      <c r="M51" s="13">
        <v>0</v>
      </c>
      <c r="N51" s="14">
        <v>0</v>
      </c>
      <c r="O51" s="13">
        <v>0</v>
      </c>
      <c r="P51" s="14">
        <v>0</v>
      </c>
      <c r="Q51" s="13">
        <v>0</v>
      </c>
      <c r="R51" s="14">
        <v>0</v>
      </c>
      <c r="S51" s="13">
        <v>0</v>
      </c>
      <c r="T51" s="14">
        <v>0</v>
      </c>
    </row>
    <row r="52" spans="2:20" s="5" customFormat="1" ht="11.5" x14ac:dyDescent="0.25">
      <c r="B52" s="55" t="s">
        <v>161</v>
      </c>
      <c r="C52" s="18">
        <f>SUM(C45:C51)</f>
        <v>-451825</v>
      </c>
      <c r="D52" s="19">
        <f t="shared" ref="D52:Q52" si="3">SUM(D45:D51)</f>
        <v>-160669</v>
      </c>
      <c r="E52" s="18">
        <f t="shared" si="3"/>
        <v>2231701</v>
      </c>
      <c r="F52" s="24">
        <f t="shared" si="3"/>
        <v>2440966</v>
      </c>
      <c r="G52" s="18">
        <f t="shared" si="3"/>
        <v>-1395130</v>
      </c>
      <c r="H52" s="18">
        <f t="shared" si="3"/>
        <v>-1720758</v>
      </c>
      <c r="I52" s="18">
        <f t="shared" si="3"/>
        <v>2143206</v>
      </c>
      <c r="J52" s="19">
        <f t="shared" si="3"/>
        <v>2469229</v>
      </c>
      <c r="K52" s="18">
        <f t="shared" si="3"/>
        <v>2386912</v>
      </c>
      <c r="L52" s="19">
        <f t="shared" si="3"/>
        <v>503857</v>
      </c>
      <c r="M52" s="18">
        <f t="shared" si="3"/>
        <v>1766695</v>
      </c>
      <c r="N52" s="19">
        <f t="shared" si="3"/>
        <v>3365481</v>
      </c>
      <c r="O52" s="18">
        <f t="shared" si="3"/>
        <v>5036255</v>
      </c>
      <c r="P52" s="19">
        <f t="shared" si="3"/>
        <v>2890908</v>
      </c>
      <c r="Q52" s="18">
        <f t="shared" si="3"/>
        <v>4569686</v>
      </c>
      <c r="R52" s="19">
        <f>SUM(R45:R51)</f>
        <v>8646695</v>
      </c>
      <c r="S52" s="18">
        <f t="shared" ref="S52" si="4">SUM(S45:S51)</f>
        <v>11011287</v>
      </c>
      <c r="T52" s="19">
        <f>SUM(T45:T51)</f>
        <v>12232572</v>
      </c>
    </row>
    <row r="53" spans="2:20" s="5" customFormat="1" ht="11.5" x14ac:dyDescent="0.25">
      <c r="C53" s="13"/>
      <c r="D53" s="14"/>
      <c r="E53" s="13"/>
      <c r="F53" s="15"/>
      <c r="G53" s="13"/>
      <c r="H53" s="15"/>
      <c r="I53" s="13"/>
      <c r="J53" s="14"/>
      <c r="K53" s="13"/>
      <c r="L53" s="14"/>
      <c r="M53" s="13"/>
      <c r="N53" s="14"/>
      <c r="O53" s="13"/>
      <c r="P53" s="14"/>
      <c r="Q53" s="13"/>
      <c r="R53" s="14"/>
      <c r="S53" s="13"/>
      <c r="T53" s="14"/>
    </row>
    <row r="54" spans="2:20" s="5" customFormat="1" ht="11.5" x14ac:dyDescent="0.25">
      <c r="B54" s="5" t="s">
        <v>162</v>
      </c>
      <c r="C54" s="13">
        <v>-35332</v>
      </c>
      <c r="D54" s="14">
        <v>-152622</v>
      </c>
      <c r="E54" s="13">
        <v>-192867</v>
      </c>
      <c r="F54" s="15">
        <v>-571942</v>
      </c>
      <c r="G54" s="13">
        <v>-567076</v>
      </c>
      <c r="H54" s="15">
        <v>-1268694</v>
      </c>
      <c r="I54" s="13">
        <v>-1433177</v>
      </c>
      <c r="J54" s="14">
        <v>-2532314</v>
      </c>
      <c r="K54" s="13">
        <v>-1229577</v>
      </c>
      <c r="L54" s="14">
        <v>-1831887</v>
      </c>
      <c r="M54" s="13">
        <v>-1914695</v>
      </c>
      <c r="N54" s="14">
        <v>-3193543</v>
      </c>
      <c r="O54" s="13">
        <v>-1678875</v>
      </c>
      <c r="P54" s="14">
        <v>-3512283</v>
      </c>
      <c r="Q54" s="13">
        <v>-2111463</v>
      </c>
      <c r="R54" s="14">
        <v>-4579993</v>
      </c>
      <c r="S54" s="13">
        <v>-3537169</v>
      </c>
      <c r="T54" s="14">
        <v>-6226806</v>
      </c>
    </row>
    <row r="55" spans="2:20" s="5" customFormat="1" ht="11.5" x14ac:dyDescent="0.25">
      <c r="B55" s="5" t="s">
        <v>163</v>
      </c>
      <c r="C55" s="13">
        <v>1422</v>
      </c>
      <c r="D55" s="14">
        <v>1276</v>
      </c>
      <c r="E55" s="13">
        <v>0</v>
      </c>
      <c r="F55" s="15">
        <v>3809</v>
      </c>
      <c r="G55" s="13">
        <v>3076</v>
      </c>
      <c r="H55" s="15">
        <v>3397</v>
      </c>
      <c r="I55" s="13">
        <v>575</v>
      </c>
      <c r="J55" s="14">
        <v>1453</v>
      </c>
      <c r="K55" s="13">
        <v>0</v>
      </c>
      <c r="L55" s="14">
        <v>1449</v>
      </c>
      <c r="M55" s="13">
        <v>5278</v>
      </c>
      <c r="N55" s="14">
        <v>5325</v>
      </c>
      <c r="O55" s="13">
        <v>0</v>
      </c>
      <c r="P55" s="14">
        <v>1221</v>
      </c>
      <c r="Q55" s="13">
        <v>918</v>
      </c>
      <c r="R55" s="14">
        <v>1323</v>
      </c>
      <c r="S55" s="13">
        <v>18705</v>
      </c>
      <c r="T55" s="14">
        <v>22589</v>
      </c>
    </row>
    <row r="56" spans="2:20" s="5" customFormat="1" ht="11.5" x14ac:dyDescent="0.25">
      <c r="B56" s="5" t="s">
        <v>164</v>
      </c>
      <c r="C56" s="13">
        <v>-447</v>
      </c>
      <c r="D56" s="14">
        <v>-982</v>
      </c>
      <c r="E56" s="13">
        <v>-10227</v>
      </c>
      <c r="F56" s="15">
        <v>-13260</v>
      </c>
      <c r="G56" s="13">
        <v>-2207</v>
      </c>
      <c r="H56" s="15">
        <v>-5497</v>
      </c>
      <c r="I56" s="13">
        <v>-12</v>
      </c>
      <c r="J56" s="14">
        <v>-4580</v>
      </c>
      <c r="K56" s="13">
        <v>-2676</v>
      </c>
      <c r="L56" s="14">
        <v>-8127</v>
      </c>
      <c r="M56" s="13">
        <v>-3483</v>
      </c>
      <c r="N56" s="14">
        <v>-10178</v>
      </c>
      <c r="O56" s="13">
        <v>-582</v>
      </c>
      <c r="P56" s="14">
        <v>-9091</v>
      </c>
      <c r="Q56" s="13">
        <v>-19138</v>
      </c>
      <c r="R56" s="14">
        <v>-50212</v>
      </c>
      <c r="S56" s="13">
        <v>-9090</v>
      </c>
      <c r="T56" s="14">
        <v>-49100</v>
      </c>
    </row>
    <row r="57" spans="2:20" s="5" customFormat="1" ht="11.5" x14ac:dyDescent="0.25">
      <c r="B57" s="5" t="s">
        <v>165</v>
      </c>
      <c r="C57" s="13">
        <v>0</v>
      </c>
      <c r="D57" s="14">
        <f>1774980</f>
        <v>1774980</v>
      </c>
      <c r="E57" s="13">
        <v>0</v>
      </c>
      <c r="F57" s="15">
        <v>-201285</v>
      </c>
      <c r="G57" s="13">
        <v>0</v>
      </c>
      <c r="H57" s="15">
        <v>-116246</v>
      </c>
      <c r="I57" s="13">
        <v>0</v>
      </c>
      <c r="J57" s="14">
        <v>0</v>
      </c>
      <c r="K57" s="13">
        <v>0</v>
      </c>
      <c r="L57" s="14">
        <v>-28315</v>
      </c>
      <c r="M57" s="13">
        <v>-315086</v>
      </c>
      <c r="N57" s="14">
        <v>-367880</v>
      </c>
      <c r="O57" s="13">
        <v>0</v>
      </c>
      <c r="P57" s="14">
        <f>-(420528+685853)</f>
        <v>-1106381</v>
      </c>
      <c r="Q57" s="13">
        <f>-590110+-4000</f>
        <v>-594110</v>
      </c>
      <c r="R57" s="14">
        <v>-590110</v>
      </c>
      <c r="S57" s="13">
        <v>0</v>
      </c>
      <c r="T57" s="14">
        <v>0</v>
      </c>
    </row>
    <row r="58" spans="2:20" s="5" customFormat="1" ht="11.5" x14ac:dyDescent="0.25">
      <c r="B58" s="5" t="s">
        <v>166</v>
      </c>
      <c r="C58" s="13">
        <v>560042</v>
      </c>
      <c r="D58" s="14">
        <v>650042</v>
      </c>
      <c r="E58" s="13">
        <v>0</v>
      </c>
      <c r="F58" s="15">
        <v>0</v>
      </c>
      <c r="G58" s="13">
        <v>0</v>
      </c>
      <c r="H58" s="15">
        <v>0</v>
      </c>
      <c r="I58" s="13">
        <v>13326</v>
      </c>
      <c r="J58" s="14">
        <v>16806</v>
      </c>
      <c r="K58" s="13">
        <v>25752</v>
      </c>
      <c r="L58" s="14">
        <v>25752</v>
      </c>
      <c r="M58" s="13">
        <v>0</v>
      </c>
      <c r="N58" s="14">
        <v>0</v>
      </c>
      <c r="O58" s="13">
        <v>0</v>
      </c>
      <c r="P58" s="14">
        <v>0</v>
      </c>
      <c r="Q58" s="13">
        <v>0</v>
      </c>
      <c r="R58" s="14">
        <v>0</v>
      </c>
      <c r="S58" s="13">
        <v>0</v>
      </c>
      <c r="T58" s="14">
        <v>0</v>
      </c>
    </row>
    <row r="59" spans="2:20" s="5" customFormat="1" ht="11.5" x14ac:dyDescent="0.25">
      <c r="B59" s="5" t="s">
        <v>167</v>
      </c>
      <c r="C59" s="13">
        <v>-323175</v>
      </c>
      <c r="D59" s="14">
        <v>-310010</v>
      </c>
      <c r="E59" s="13">
        <v>-107260</v>
      </c>
      <c r="F59" s="15">
        <v>0</v>
      </c>
      <c r="G59" s="13">
        <v>0</v>
      </c>
      <c r="H59" s="15">
        <v>-534</v>
      </c>
      <c r="I59" s="13">
        <v>-107</v>
      </c>
      <c r="J59" s="14">
        <v>-19980</v>
      </c>
      <c r="K59" s="13">
        <v>0</v>
      </c>
      <c r="L59" s="14">
        <v>-16515</v>
      </c>
      <c r="M59" s="13">
        <v>-3817</v>
      </c>
      <c r="N59" s="14">
        <v>-23965</v>
      </c>
      <c r="O59" s="13">
        <v>-7400</v>
      </c>
      <c r="P59" s="14">
        <v>-418930</v>
      </c>
      <c r="Q59" s="13">
        <v>-900</v>
      </c>
      <c r="R59" s="14">
        <v>-108828</v>
      </c>
      <c r="S59" s="13">
        <v>0</v>
      </c>
      <c r="T59" s="14">
        <v>-34000</v>
      </c>
    </row>
    <row r="60" spans="2:20" s="5" customFormat="1" ht="11.5" x14ac:dyDescent="0.25">
      <c r="B60" s="5" t="s">
        <v>168</v>
      </c>
      <c r="C60" s="13">
        <v>0</v>
      </c>
      <c r="D60" s="14"/>
      <c r="E60" s="13">
        <v>0</v>
      </c>
      <c r="F60" s="15">
        <v>0</v>
      </c>
      <c r="G60" s="13">
        <v>0</v>
      </c>
      <c r="H60" s="15">
        <v>275</v>
      </c>
      <c r="I60" s="13">
        <v>15</v>
      </c>
      <c r="J60" s="14">
        <v>165</v>
      </c>
      <c r="K60" s="13">
        <v>0</v>
      </c>
      <c r="L60" s="14">
        <v>6621</v>
      </c>
      <c r="M60" s="13">
        <v>0</v>
      </c>
      <c r="N60" s="14">
        <v>2879</v>
      </c>
      <c r="O60" s="13">
        <v>23444</v>
      </c>
      <c r="P60" s="14">
        <v>438319</v>
      </c>
      <c r="Q60" s="13">
        <v>933</v>
      </c>
      <c r="R60" s="14">
        <v>94428</v>
      </c>
      <c r="S60" s="13">
        <v>35347</v>
      </c>
      <c r="T60" s="14">
        <v>47596</v>
      </c>
    </row>
    <row r="61" spans="2:20" s="5" customFormat="1" ht="11.5" x14ac:dyDescent="0.25">
      <c r="B61" s="5" t="s">
        <v>169</v>
      </c>
      <c r="C61" s="13">
        <v>168000</v>
      </c>
      <c r="D61" s="14">
        <v>168000</v>
      </c>
      <c r="E61" s="13">
        <v>0</v>
      </c>
      <c r="F61" s="15">
        <v>0</v>
      </c>
      <c r="G61" s="13">
        <v>0</v>
      </c>
      <c r="H61" s="15">
        <v>0</v>
      </c>
      <c r="I61" s="13">
        <v>0</v>
      </c>
      <c r="J61" s="14">
        <v>0</v>
      </c>
      <c r="K61" s="13">
        <v>0</v>
      </c>
      <c r="L61" s="14">
        <v>0</v>
      </c>
      <c r="M61" s="13">
        <v>0</v>
      </c>
      <c r="N61" s="14">
        <v>0</v>
      </c>
      <c r="O61" s="13">
        <v>0</v>
      </c>
      <c r="P61" s="14">
        <v>0</v>
      </c>
      <c r="Q61" s="13">
        <v>0</v>
      </c>
      <c r="R61" s="14">
        <v>0</v>
      </c>
      <c r="S61" s="13">
        <v>0</v>
      </c>
      <c r="T61" s="14">
        <v>0</v>
      </c>
    </row>
    <row r="62" spans="2:20" s="5" customFormat="1" ht="11.5" x14ac:dyDescent="0.25">
      <c r="B62" s="5" t="s">
        <v>170</v>
      </c>
      <c r="C62" s="13">
        <v>0</v>
      </c>
      <c r="D62" s="14">
        <v>0</v>
      </c>
      <c r="E62" s="13">
        <v>0</v>
      </c>
      <c r="F62" s="15">
        <v>0</v>
      </c>
      <c r="G62" s="13">
        <v>0</v>
      </c>
      <c r="H62" s="15">
        <v>0</v>
      </c>
      <c r="I62" s="13">
        <v>0</v>
      </c>
      <c r="J62" s="14">
        <v>0</v>
      </c>
      <c r="K62" s="13">
        <v>0</v>
      </c>
      <c r="L62" s="14">
        <v>0</v>
      </c>
      <c r="M62" s="13">
        <v>0</v>
      </c>
      <c r="N62" s="14">
        <v>0</v>
      </c>
      <c r="O62" s="13">
        <v>0</v>
      </c>
      <c r="P62" s="14">
        <v>0</v>
      </c>
      <c r="Q62" s="13">
        <v>0</v>
      </c>
      <c r="R62" s="14">
        <v>0</v>
      </c>
      <c r="S62" s="13">
        <v>0</v>
      </c>
      <c r="T62" s="14">
        <v>-243322</v>
      </c>
    </row>
    <row r="63" spans="2:20" s="5" customFormat="1" ht="11.5" x14ac:dyDescent="0.25">
      <c r="B63" s="5" t="s">
        <v>160</v>
      </c>
      <c r="C63" s="13">
        <v>0</v>
      </c>
      <c r="D63" s="14">
        <v>0</v>
      </c>
      <c r="E63" s="13">
        <v>0</v>
      </c>
      <c r="F63" s="15">
        <v>0</v>
      </c>
      <c r="G63" s="13">
        <v>0</v>
      </c>
      <c r="H63" s="15">
        <v>0</v>
      </c>
      <c r="I63" s="13">
        <v>0</v>
      </c>
      <c r="J63" s="14">
        <v>0</v>
      </c>
      <c r="K63" s="13">
        <v>0</v>
      </c>
      <c r="L63" s="14">
        <v>0</v>
      </c>
      <c r="M63" s="13">
        <v>0</v>
      </c>
      <c r="N63" s="14">
        <v>0</v>
      </c>
      <c r="O63" s="13">
        <v>0</v>
      </c>
      <c r="P63" s="14">
        <v>0</v>
      </c>
      <c r="Q63" s="13">
        <v>0</v>
      </c>
      <c r="R63" s="14">
        <v>0</v>
      </c>
      <c r="S63" s="13">
        <v>0</v>
      </c>
      <c r="T63" s="14">
        <v>0</v>
      </c>
    </row>
    <row r="64" spans="2:20" s="5" customFormat="1" ht="11.5" x14ac:dyDescent="0.25">
      <c r="B64" s="55" t="s">
        <v>171</v>
      </c>
      <c r="C64" s="18">
        <f t="shared" ref="C64:T64" si="5">SUM(C54:C63)</f>
        <v>370510</v>
      </c>
      <c r="D64" s="19">
        <f t="shared" si="5"/>
        <v>2130684</v>
      </c>
      <c r="E64" s="18">
        <f t="shared" si="5"/>
        <v>-310354</v>
      </c>
      <c r="F64" s="24">
        <f t="shared" si="5"/>
        <v>-782678</v>
      </c>
      <c r="G64" s="18">
        <f t="shared" si="5"/>
        <v>-566207</v>
      </c>
      <c r="H64" s="24">
        <f t="shared" si="5"/>
        <v>-1387299</v>
      </c>
      <c r="I64" s="18">
        <f t="shared" si="5"/>
        <v>-1419380</v>
      </c>
      <c r="J64" s="19">
        <f t="shared" si="5"/>
        <v>-2538450</v>
      </c>
      <c r="K64" s="18">
        <f t="shared" si="5"/>
        <v>-1206501</v>
      </c>
      <c r="L64" s="19">
        <f t="shared" si="5"/>
        <v>-1851022</v>
      </c>
      <c r="M64" s="18">
        <f t="shared" si="5"/>
        <v>-2231803</v>
      </c>
      <c r="N64" s="19">
        <f t="shared" si="5"/>
        <v>-3587362</v>
      </c>
      <c r="O64" s="18">
        <f t="shared" si="5"/>
        <v>-1663413</v>
      </c>
      <c r="P64" s="19">
        <f t="shared" si="5"/>
        <v>-4607145</v>
      </c>
      <c r="Q64" s="18">
        <f t="shared" si="5"/>
        <v>-2723760</v>
      </c>
      <c r="R64" s="19">
        <f t="shared" si="5"/>
        <v>-5233392</v>
      </c>
      <c r="S64" s="18">
        <f t="shared" si="5"/>
        <v>-3492207</v>
      </c>
      <c r="T64" s="19">
        <f t="shared" si="5"/>
        <v>-6483043</v>
      </c>
    </row>
    <row r="65" spans="2:20" s="5" customFormat="1" ht="11.5" x14ac:dyDescent="0.25">
      <c r="B65" s="41"/>
      <c r="C65" s="29"/>
      <c r="D65" s="30"/>
      <c r="E65" s="29"/>
      <c r="F65" s="53"/>
      <c r="G65" s="29"/>
      <c r="H65" s="53"/>
      <c r="I65" s="29"/>
      <c r="J65" s="30"/>
      <c r="K65" s="29"/>
      <c r="L65" s="30"/>
      <c r="M65" s="29"/>
      <c r="N65" s="30"/>
      <c r="O65" s="29"/>
      <c r="P65" s="30"/>
      <c r="Q65" s="29"/>
      <c r="R65" s="30"/>
      <c r="S65" s="29"/>
      <c r="T65" s="30"/>
    </row>
    <row r="66" spans="2:20" s="5" customFormat="1" ht="11.5" x14ac:dyDescent="0.25">
      <c r="C66" s="13"/>
      <c r="D66" s="14"/>
      <c r="E66" s="13"/>
      <c r="F66" s="15"/>
      <c r="G66" s="13"/>
      <c r="H66" s="15"/>
      <c r="I66" s="13"/>
      <c r="J66" s="14"/>
      <c r="K66" s="13"/>
      <c r="L66" s="14"/>
      <c r="M66" s="13"/>
      <c r="N66" s="14"/>
      <c r="O66" s="13"/>
      <c r="P66" s="14"/>
      <c r="Q66" s="13"/>
      <c r="R66" s="14"/>
      <c r="S66" s="13"/>
      <c r="T66" s="14"/>
    </row>
    <row r="67" spans="2:20" s="5" customFormat="1" ht="11.5" x14ac:dyDescent="0.25">
      <c r="B67" s="17" t="s">
        <v>172</v>
      </c>
      <c r="C67" s="18">
        <f t="shared" ref="C67:T67" si="6">+C52+C64</f>
        <v>-81315</v>
      </c>
      <c r="D67" s="19">
        <f t="shared" si="6"/>
        <v>1970015</v>
      </c>
      <c r="E67" s="18">
        <f t="shared" si="6"/>
        <v>1921347</v>
      </c>
      <c r="F67" s="24">
        <f t="shared" si="6"/>
        <v>1658288</v>
      </c>
      <c r="G67" s="18">
        <f t="shared" si="6"/>
        <v>-1961337</v>
      </c>
      <c r="H67" s="24">
        <f t="shared" si="6"/>
        <v>-3108057</v>
      </c>
      <c r="I67" s="18">
        <f t="shared" si="6"/>
        <v>723826</v>
      </c>
      <c r="J67" s="19">
        <f t="shared" si="6"/>
        <v>-69221</v>
      </c>
      <c r="K67" s="18">
        <f t="shared" si="6"/>
        <v>1180411</v>
      </c>
      <c r="L67" s="19">
        <f t="shared" si="6"/>
        <v>-1347165</v>
      </c>
      <c r="M67" s="18">
        <f t="shared" si="6"/>
        <v>-465108</v>
      </c>
      <c r="N67" s="19">
        <f t="shared" si="6"/>
        <v>-221881</v>
      </c>
      <c r="O67" s="18">
        <f t="shared" si="6"/>
        <v>3372842</v>
      </c>
      <c r="P67" s="19">
        <f t="shared" si="6"/>
        <v>-1716237</v>
      </c>
      <c r="Q67" s="18">
        <f t="shared" si="6"/>
        <v>1845926</v>
      </c>
      <c r="R67" s="19">
        <f t="shared" si="6"/>
        <v>3413303</v>
      </c>
      <c r="S67" s="18">
        <f t="shared" si="6"/>
        <v>7519080</v>
      </c>
      <c r="T67" s="19">
        <f t="shared" si="6"/>
        <v>5749529</v>
      </c>
    </row>
    <row r="68" spans="2:20" s="5" customFormat="1" ht="11.5" x14ac:dyDescent="0.25">
      <c r="C68" s="13"/>
      <c r="D68" s="14"/>
      <c r="E68" s="13"/>
      <c r="F68" s="15"/>
      <c r="G68" s="13"/>
      <c r="H68" s="15"/>
      <c r="I68" s="13"/>
      <c r="J68" s="14"/>
      <c r="K68" s="13"/>
      <c r="L68" s="14"/>
      <c r="M68" s="13"/>
      <c r="N68" s="14"/>
      <c r="O68" s="13"/>
      <c r="P68" s="14"/>
      <c r="Q68" s="13"/>
      <c r="R68" s="14"/>
      <c r="S68" s="13"/>
      <c r="T68" s="14"/>
    </row>
    <row r="69" spans="2:20" s="5" customFormat="1" ht="11.5" x14ac:dyDescent="0.25">
      <c r="B69" s="5" t="s">
        <v>173</v>
      </c>
      <c r="C69" s="13">
        <v>0</v>
      </c>
      <c r="D69" s="14">
        <v>0</v>
      </c>
      <c r="E69" s="13">
        <v>0</v>
      </c>
      <c r="F69" s="15">
        <v>0</v>
      </c>
      <c r="G69" s="13">
        <v>0</v>
      </c>
      <c r="H69" s="15">
        <v>-19989</v>
      </c>
      <c r="I69" s="13">
        <v>-44995</v>
      </c>
      <c r="J69" s="14">
        <v>-219122</v>
      </c>
      <c r="K69" s="13">
        <v>-149606</v>
      </c>
      <c r="L69" s="14">
        <v>-249604</v>
      </c>
      <c r="M69" s="13">
        <v>-116392</v>
      </c>
      <c r="N69" s="14">
        <v>-420599</v>
      </c>
      <c r="O69" s="13">
        <v>-79876</v>
      </c>
      <c r="P69" s="14">
        <v>-453425</v>
      </c>
      <c r="Q69" s="13">
        <v>-9246</v>
      </c>
      <c r="R69" s="14">
        <v>-760164</v>
      </c>
      <c r="S69" s="13">
        <v>-44601</v>
      </c>
      <c r="T69" s="14">
        <v>-451548</v>
      </c>
    </row>
    <row r="70" spans="2:20" s="5" customFormat="1" ht="11.5" x14ac:dyDescent="0.25">
      <c r="B70" s="5" t="s">
        <v>174</v>
      </c>
      <c r="C70" s="13">
        <v>0</v>
      </c>
      <c r="D70" s="14">
        <v>0</v>
      </c>
      <c r="E70" s="13">
        <v>0</v>
      </c>
      <c r="F70" s="15">
        <f>800453-29583</f>
        <v>770870</v>
      </c>
      <c r="G70" s="13">
        <v>0</v>
      </c>
      <c r="H70" s="15">
        <v>0</v>
      </c>
      <c r="I70" s="13">
        <v>0</v>
      </c>
      <c r="J70" s="14">
        <v>0</v>
      </c>
      <c r="K70" s="13">
        <v>0</v>
      </c>
      <c r="L70" s="14">
        <v>0</v>
      </c>
      <c r="M70" s="13">
        <v>0</v>
      </c>
      <c r="N70" s="14">
        <v>0</v>
      </c>
      <c r="O70" s="13">
        <v>0</v>
      </c>
      <c r="P70" s="14">
        <v>0</v>
      </c>
      <c r="Q70" s="13">
        <v>0</v>
      </c>
      <c r="R70" s="14">
        <v>0</v>
      </c>
      <c r="S70" s="13">
        <v>0</v>
      </c>
      <c r="T70" s="14">
        <v>0</v>
      </c>
    </row>
    <row r="71" spans="2:20" s="5" customFormat="1" ht="11.5" x14ac:dyDescent="0.25">
      <c r="B71" s="5" t="s">
        <v>175</v>
      </c>
      <c r="C71" s="13">
        <v>0</v>
      </c>
      <c r="D71" s="14">
        <v>0</v>
      </c>
      <c r="E71" s="13">
        <v>0</v>
      </c>
      <c r="F71" s="15">
        <v>0</v>
      </c>
      <c r="G71" s="13">
        <v>0</v>
      </c>
      <c r="H71" s="15">
        <v>79185</v>
      </c>
      <c r="I71" s="13">
        <v>0</v>
      </c>
      <c r="J71" s="14">
        <v>23212</v>
      </c>
      <c r="K71" s="13">
        <v>17167</v>
      </c>
      <c r="L71" s="14">
        <v>20337</v>
      </c>
      <c r="M71" s="13">
        <v>286047</v>
      </c>
      <c r="N71" s="14">
        <v>467605</v>
      </c>
      <c r="O71" s="13">
        <v>31219</v>
      </c>
      <c r="P71" s="14">
        <v>177261</v>
      </c>
      <c r="Q71" s="13">
        <v>0</v>
      </c>
      <c r="R71" s="14">
        <v>969431</v>
      </c>
      <c r="S71" s="13">
        <v>0</v>
      </c>
      <c r="T71" s="14">
        <v>0</v>
      </c>
    </row>
    <row r="72" spans="2:20" s="5" customFormat="1" ht="11.5" x14ac:dyDescent="0.25">
      <c r="B72" s="5" t="s">
        <v>176</v>
      </c>
      <c r="C72" s="13">
        <v>0</v>
      </c>
      <c r="D72" s="14">
        <v>0</v>
      </c>
      <c r="E72" s="13">
        <v>0</v>
      </c>
      <c r="F72" s="15">
        <v>0</v>
      </c>
      <c r="G72" s="13">
        <v>0</v>
      </c>
      <c r="H72" s="15">
        <v>0</v>
      </c>
      <c r="I72" s="13">
        <v>-16500</v>
      </c>
      <c r="J72" s="14">
        <v>-16500</v>
      </c>
      <c r="K72" s="13">
        <v>-27303</v>
      </c>
      <c r="L72" s="14">
        <v>-38107</v>
      </c>
      <c r="M72" s="13">
        <v>-12045</v>
      </c>
      <c r="N72" s="14">
        <v>-20272</v>
      </c>
      <c r="O72" s="13">
        <v>0</v>
      </c>
      <c r="P72" s="14">
        <v>0</v>
      </c>
      <c r="Q72" s="13">
        <v>0</v>
      </c>
      <c r="R72" s="14">
        <v>0</v>
      </c>
      <c r="S72" s="13">
        <v>0</v>
      </c>
      <c r="T72" s="14">
        <v>0</v>
      </c>
    </row>
    <row r="73" spans="2:20" s="5" customFormat="1" ht="11.5" x14ac:dyDescent="0.25">
      <c r="B73" s="5" t="s">
        <v>177</v>
      </c>
      <c r="C73" s="13">
        <v>0</v>
      </c>
      <c r="D73" s="14">
        <v>0</v>
      </c>
      <c r="E73" s="13">
        <v>0</v>
      </c>
      <c r="F73" s="15">
        <v>0</v>
      </c>
      <c r="G73" s="13">
        <v>0</v>
      </c>
      <c r="H73" s="15">
        <v>0</v>
      </c>
      <c r="I73" s="13">
        <v>0</v>
      </c>
      <c r="J73" s="14">
        <v>0</v>
      </c>
      <c r="K73" s="13">
        <v>0</v>
      </c>
      <c r="L73" s="14">
        <v>-429162</v>
      </c>
      <c r="M73" s="13">
        <v>-58464</v>
      </c>
      <c r="N73" s="14">
        <f>-(1466096+58464)</f>
        <v>-1524560</v>
      </c>
      <c r="O73" s="13">
        <v>0</v>
      </c>
      <c r="P73" s="14">
        <v>-3295336</v>
      </c>
      <c r="Q73" s="13">
        <v>0</v>
      </c>
      <c r="R73" s="14">
        <v>-3904233</v>
      </c>
      <c r="S73" s="13">
        <v>0</v>
      </c>
      <c r="T73" s="14">
        <v>-4347548</v>
      </c>
    </row>
    <row r="74" spans="2:20" s="5" customFormat="1" ht="11.5" x14ac:dyDescent="0.25">
      <c r="B74" s="5" t="s">
        <v>178</v>
      </c>
      <c r="C74" s="13">
        <v>0</v>
      </c>
      <c r="D74" s="14">
        <v>0</v>
      </c>
      <c r="E74" s="13">
        <v>0</v>
      </c>
      <c r="F74" s="15">
        <v>0</v>
      </c>
      <c r="G74" s="13">
        <v>0</v>
      </c>
      <c r="H74" s="15">
        <v>0</v>
      </c>
      <c r="I74" s="13">
        <v>450000</v>
      </c>
      <c r="J74" s="14">
        <v>450000</v>
      </c>
      <c r="K74" s="13">
        <v>0</v>
      </c>
      <c r="L74" s="14">
        <v>0</v>
      </c>
      <c r="M74" s="13">
        <v>0</v>
      </c>
      <c r="N74" s="14">
        <v>0</v>
      </c>
      <c r="O74" s="13">
        <v>0</v>
      </c>
      <c r="P74" s="14">
        <v>0</v>
      </c>
      <c r="Q74" s="13">
        <v>0</v>
      </c>
      <c r="R74" s="14">
        <v>0</v>
      </c>
      <c r="S74" s="13">
        <v>0</v>
      </c>
      <c r="T74" s="14">
        <v>0</v>
      </c>
    </row>
    <row r="75" spans="2:20" s="5" customFormat="1" ht="11.5" x14ac:dyDescent="0.25">
      <c r="B75" s="5" t="s">
        <v>179</v>
      </c>
      <c r="C75" s="13">
        <v>0</v>
      </c>
      <c r="D75" s="14">
        <v>0</v>
      </c>
      <c r="E75" s="13">
        <v>0</v>
      </c>
      <c r="F75" s="15">
        <v>0</v>
      </c>
      <c r="G75" s="13">
        <v>-400000</v>
      </c>
      <c r="H75" s="15">
        <v>-450000</v>
      </c>
      <c r="I75" s="13">
        <v>0</v>
      </c>
      <c r="J75" s="14">
        <v>-26437</v>
      </c>
      <c r="K75" s="13">
        <v>0</v>
      </c>
      <c r="L75" s="14">
        <v>0</v>
      </c>
      <c r="M75" s="13">
        <v>0</v>
      </c>
      <c r="N75" s="14">
        <v>0</v>
      </c>
      <c r="O75" s="13">
        <v>0</v>
      </c>
      <c r="P75" s="14">
        <v>0</v>
      </c>
      <c r="Q75" s="13">
        <v>0</v>
      </c>
      <c r="R75" s="14">
        <v>0</v>
      </c>
      <c r="S75" s="13">
        <v>0</v>
      </c>
      <c r="T75" s="14">
        <v>0</v>
      </c>
    </row>
    <row r="76" spans="2:20" s="5" customFormat="1" ht="11.5" x14ac:dyDescent="0.25">
      <c r="B76" s="5" t="s">
        <v>180</v>
      </c>
      <c r="C76" s="13">
        <v>0</v>
      </c>
      <c r="D76" s="14">
        <v>0</v>
      </c>
      <c r="E76" s="13">
        <v>0</v>
      </c>
      <c r="F76" s="15">
        <v>0</v>
      </c>
      <c r="G76" s="13">
        <v>0</v>
      </c>
      <c r="H76" s="15">
        <v>0</v>
      </c>
      <c r="I76" s="13">
        <v>-4302</v>
      </c>
      <c r="J76" s="14">
        <v>-10245</v>
      </c>
      <c r="K76" s="13">
        <v>-12278</v>
      </c>
      <c r="L76" s="14">
        <v>-38783</v>
      </c>
      <c r="M76" s="13">
        <v>-31582</v>
      </c>
      <c r="N76" s="14">
        <v>-46313</v>
      </c>
      <c r="O76" s="13">
        <v>-23010</v>
      </c>
      <c r="P76" s="14">
        <v>-53643</v>
      </c>
      <c r="Q76" s="13">
        <v>-35620</v>
      </c>
      <c r="R76" s="14">
        <v>-50239</v>
      </c>
      <c r="S76" s="13">
        <v>-35547</v>
      </c>
      <c r="T76" s="14">
        <v>-78186</v>
      </c>
    </row>
    <row r="77" spans="2:20" s="5" customFormat="1" ht="11.5" x14ac:dyDescent="0.25">
      <c r="B77" s="5" t="s">
        <v>181</v>
      </c>
      <c r="C77" s="13">
        <v>431110</v>
      </c>
      <c r="D77" s="14">
        <v>2408388</v>
      </c>
      <c r="E77" s="13">
        <v>171305</v>
      </c>
      <c r="F77" s="15">
        <v>1543346</v>
      </c>
      <c r="G77" s="13">
        <v>4048370</v>
      </c>
      <c r="H77" s="15">
        <v>6523699</v>
      </c>
      <c r="I77" s="13">
        <v>1988404</v>
      </c>
      <c r="J77" s="14">
        <v>3482141</v>
      </c>
      <c r="K77" s="13">
        <v>2474286</v>
      </c>
      <c r="L77" s="14">
        <v>7040073</v>
      </c>
      <c r="M77" s="13">
        <v>6191737</v>
      </c>
      <c r="N77" s="14">
        <v>10370224</v>
      </c>
      <c r="O77" s="13">
        <v>4219279</v>
      </c>
      <c r="P77" s="14">
        <v>13800391</v>
      </c>
      <c r="Q77" s="13">
        <v>3441129</v>
      </c>
      <c r="R77" s="14">
        <v>7907678</v>
      </c>
      <c r="S77" s="13">
        <v>4362240</v>
      </c>
      <c r="T77" s="14">
        <v>12388367</v>
      </c>
    </row>
    <row r="78" spans="2:20" s="5" customFormat="1" ht="11.5" x14ac:dyDescent="0.25">
      <c r="B78" s="5" t="s">
        <v>182</v>
      </c>
      <c r="C78" s="13">
        <v>-805657</v>
      </c>
      <c r="D78" s="14">
        <v>-4877999</v>
      </c>
      <c r="E78" s="13">
        <v>-1973818</v>
      </c>
      <c r="F78" s="15">
        <v>-2906789</v>
      </c>
      <c r="G78" s="13">
        <v>-2612087</v>
      </c>
      <c r="H78" s="15">
        <v>-4064784</v>
      </c>
      <c r="I78" s="13">
        <v>-2080901</v>
      </c>
      <c r="J78" s="14">
        <v>-3660345</v>
      </c>
      <c r="K78" s="13">
        <v>-2268933</v>
      </c>
      <c r="L78" s="14">
        <v>-4494734</v>
      </c>
      <c r="M78" s="13">
        <v>-3790853</v>
      </c>
      <c r="N78" s="14">
        <v>-8880451</v>
      </c>
      <c r="O78" s="13">
        <v>-4903524</v>
      </c>
      <c r="P78" s="14">
        <v>-8274130</v>
      </c>
      <c r="Q78" s="13">
        <v>-3444972</v>
      </c>
      <c r="R78" s="14">
        <v>-7192029</v>
      </c>
      <c r="S78" s="13">
        <v>-9539522</v>
      </c>
      <c r="T78" s="14">
        <v>-12686501</v>
      </c>
    </row>
    <row r="79" spans="2:20" s="5" customFormat="1" ht="11.5" x14ac:dyDescent="0.25">
      <c r="C79" s="21"/>
      <c r="D79" s="14"/>
      <c r="E79" s="21"/>
      <c r="F79" s="23"/>
      <c r="G79" s="21"/>
      <c r="H79" s="23"/>
      <c r="I79" s="21">
        <v>0</v>
      </c>
      <c r="J79" s="22"/>
      <c r="K79" s="21"/>
      <c r="L79" s="22"/>
      <c r="M79" s="21"/>
      <c r="N79" s="22"/>
      <c r="O79" s="21"/>
      <c r="P79" s="22"/>
      <c r="Q79" s="21"/>
      <c r="R79" s="22"/>
      <c r="S79" s="21"/>
      <c r="T79" s="22"/>
    </row>
    <row r="80" spans="2:20" s="5" customFormat="1" ht="11.5" x14ac:dyDescent="0.25">
      <c r="B80" s="55" t="s">
        <v>183</v>
      </c>
      <c r="C80" s="56">
        <f>SUM(C69:C78)</f>
        <v>-374547</v>
      </c>
      <c r="D80" s="57">
        <f>SUM(D69:D79)</f>
        <v>-2469611</v>
      </c>
      <c r="E80" s="56">
        <f>SUM(E69:E78)</f>
        <v>-1802513</v>
      </c>
      <c r="F80" s="58">
        <f>SUM(F69:F78)</f>
        <v>-592573</v>
      </c>
      <c r="G80" s="56">
        <f>SUM(G69:G78)</f>
        <v>1036283</v>
      </c>
      <c r="H80" s="58">
        <f>SUM(H69:H78)</f>
        <v>2068111</v>
      </c>
      <c r="I80" s="56">
        <f>SUM(I69:I79)</f>
        <v>291706</v>
      </c>
      <c r="J80" s="57">
        <f>SUM(J69:J78)</f>
        <v>22704</v>
      </c>
      <c r="K80" s="56">
        <f>SUM(K69:K79)</f>
        <v>33333</v>
      </c>
      <c r="L80" s="57">
        <f>SUM(L69:L78)</f>
        <v>1810020</v>
      </c>
      <c r="M80" s="56">
        <f>SUM(M69:M79)</f>
        <v>2468448</v>
      </c>
      <c r="N80" s="57">
        <f>SUM(N69:N78)</f>
        <v>-54366</v>
      </c>
      <c r="O80" s="56">
        <f>SUM(O69:O79)</f>
        <v>-755912</v>
      </c>
      <c r="P80" s="57">
        <f>SUM(P69:P78)</f>
        <v>1901118</v>
      </c>
      <c r="Q80" s="56">
        <f>SUM(Q69:Q79)</f>
        <v>-48709</v>
      </c>
      <c r="R80" s="57">
        <f>SUM(R69:R78)</f>
        <v>-3029556</v>
      </c>
      <c r="S80" s="56">
        <f>SUM(S69:S79)</f>
        <v>-5257430</v>
      </c>
      <c r="T80" s="57">
        <f>SUM(T69:T78)</f>
        <v>-5175416</v>
      </c>
    </row>
    <row r="81" spans="2:20" s="5" customFormat="1" ht="11.5" x14ac:dyDescent="0.25">
      <c r="C81" s="21"/>
      <c r="D81" s="22"/>
      <c r="E81" s="21"/>
      <c r="F81" s="23"/>
      <c r="G81" s="21"/>
      <c r="H81" s="23"/>
      <c r="I81" s="21"/>
      <c r="J81" s="22"/>
      <c r="K81" s="21"/>
      <c r="L81" s="22"/>
      <c r="M81" s="21"/>
      <c r="N81" s="22"/>
      <c r="O81" s="21"/>
      <c r="P81" s="22"/>
      <c r="Q81" s="21"/>
      <c r="R81" s="22"/>
      <c r="S81" s="21"/>
      <c r="T81" s="22"/>
    </row>
    <row r="82" spans="2:20" s="5" customFormat="1" ht="11.5" x14ac:dyDescent="0.25">
      <c r="B82" s="5" t="s">
        <v>184</v>
      </c>
      <c r="C82" s="13">
        <f>SUM(C80,C67)</f>
        <v>-455862</v>
      </c>
      <c r="D82" s="14">
        <f t="shared" ref="D82:S82" si="7">SUM(D80,D67)</f>
        <v>-499596</v>
      </c>
      <c r="E82" s="13">
        <f t="shared" si="7"/>
        <v>118834</v>
      </c>
      <c r="F82" s="15">
        <f t="shared" si="7"/>
        <v>1065715</v>
      </c>
      <c r="G82" s="13">
        <f t="shared" si="7"/>
        <v>-925054</v>
      </c>
      <c r="H82" s="15">
        <f t="shared" si="7"/>
        <v>-1039946</v>
      </c>
      <c r="I82" s="13">
        <f t="shared" si="7"/>
        <v>1015532</v>
      </c>
      <c r="J82" s="14">
        <f t="shared" si="7"/>
        <v>-46517</v>
      </c>
      <c r="K82" s="13">
        <f t="shared" si="7"/>
        <v>1213744</v>
      </c>
      <c r="L82" s="14">
        <f t="shared" si="7"/>
        <v>462855</v>
      </c>
      <c r="M82" s="13">
        <f t="shared" si="7"/>
        <v>2003340</v>
      </c>
      <c r="N82" s="14">
        <f t="shared" si="7"/>
        <v>-276247</v>
      </c>
      <c r="O82" s="13">
        <f t="shared" si="7"/>
        <v>2616930</v>
      </c>
      <c r="P82" s="14">
        <f t="shared" si="7"/>
        <v>184881</v>
      </c>
      <c r="Q82" s="13">
        <f t="shared" si="7"/>
        <v>1797217</v>
      </c>
      <c r="R82" s="14">
        <f t="shared" si="7"/>
        <v>383747</v>
      </c>
      <c r="S82" s="13">
        <f t="shared" si="7"/>
        <v>2261650</v>
      </c>
      <c r="T82" s="14">
        <f>SUM(T80,T67)</f>
        <v>574113</v>
      </c>
    </row>
    <row r="83" spans="2:20" s="5" customFormat="1" ht="11.5" x14ac:dyDescent="0.25">
      <c r="B83" s="5" t="s">
        <v>185</v>
      </c>
      <c r="C83" s="13">
        <v>53606</v>
      </c>
      <c r="D83" s="14">
        <v>45225</v>
      </c>
      <c r="E83" s="13">
        <v>-2947</v>
      </c>
      <c r="F83" s="15">
        <v>-5492</v>
      </c>
      <c r="G83" s="13">
        <v>37977</v>
      </c>
      <c r="H83" s="15">
        <v>50538</v>
      </c>
      <c r="I83" s="13">
        <v>-56428</v>
      </c>
      <c r="J83" s="14">
        <v>26796</v>
      </c>
      <c r="K83" s="13">
        <v>-56733</v>
      </c>
      <c r="L83" s="14">
        <v>80048</v>
      </c>
      <c r="M83" s="13">
        <v>-38403</v>
      </c>
      <c r="N83" s="14">
        <v>-52907</v>
      </c>
      <c r="O83" s="13">
        <v>-239523</v>
      </c>
      <c r="P83" s="14">
        <v>-144481</v>
      </c>
      <c r="Q83" s="13">
        <v>100069</v>
      </c>
      <c r="R83" s="14">
        <v>162471</v>
      </c>
      <c r="S83" s="13">
        <v>-40268</v>
      </c>
      <c r="T83" s="14">
        <v>-14261</v>
      </c>
    </row>
    <row r="84" spans="2:20" s="5" customFormat="1" ht="11.5" x14ac:dyDescent="0.25">
      <c r="B84" s="5" t="s">
        <v>186</v>
      </c>
      <c r="C84" s="13">
        <f>387914-901-338692-83522</f>
        <v>-35201</v>
      </c>
      <c r="D84" s="14">
        <f>323285+367613-738650+77898</f>
        <v>30146</v>
      </c>
      <c r="E84" s="13">
        <v>0</v>
      </c>
      <c r="F84" s="15">
        <v>0</v>
      </c>
      <c r="G84" s="13">
        <v>0</v>
      </c>
      <c r="H84" s="15">
        <v>0</v>
      </c>
      <c r="I84" s="13">
        <v>0</v>
      </c>
      <c r="J84" s="14">
        <v>0</v>
      </c>
      <c r="K84" s="13">
        <v>0</v>
      </c>
      <c r="L84" s="14">
        <v>0</v>
      </c>
      <c r="M84" s="13">
        <v>0</v>
      </c>
      <c r="N84" s="14">
        <v>0</v>
      </c>
      <c r="O84" s="13">
        <v>0</v>
      </c>
      <c r="P84" s="14">
        <v>0</v>
      </c>
      <c r="Q84" s="13">
        <v>0</v>
      </c>
      <c r="R84" s="14">
        <v>0</v>
      </c>
      <c r="S84" s="13">
        <v>0</v>
      </c>
      <c r="T84" s="14">
        <v>0</v>
      </c>
    </row>
    <row r="85" spans="2:20" s="5" customFormat="1" ht="11.5" x14ac:dyDescent="0.25">
      <c r="B85" s="5" t="s">
        <v>187</v>
      </c>
      <c r="C85" s="13">
        <f>+D85</f>
        <v>458112</v>
      </c>
      <c r="D85" s="14">
        <v>458112</v>
      </c>
      <c r="E85" s="13">
        <f>+F85</f>
        <v>33887</v>
      </c>
      <c r="F85" s="52">
        <v>33887</v>
      </c>
      <c r="G85" s="13">
        <f>+H85</f>
        <v>1094110</v>
      </c>
      <c r="H85" s="52">
        <v>1094110</v>
      </c>
      <c r="I85" s="13">
        <v>104702</v>
      </c>
      <c r="J85" s="14">
        <v>104702</v>
      </c>
      <c r="K85" s="13">
        <v>84981</v>
      </c>
      <c r="L85" s="14">
        <f>+'Balance sheet_'!J31</f>
        <v>84981</v>
      </c>
      <c r="M85" s="13">
        <v>627884</v>
      </c>
      <c r="N85" s="14">
        <f>+'Balance sheet_'!L31</f>
        <v>627884</v>
      </c>
      <c r="O85" s="13">
        <f>+'Balance sheet_'!N31</f>
        <v>298730</v>
      </c>
      <c r="P85" s="14">
        <f>+'Balance sheet_'!N31</f>
        <v>298730</v>
      </c>
      <c r="Q85" s="13">
        <f>+'Balance sheet_'!P31</f>
        <v>339130</v>
      </c>
      <c r="R85" s="14">
        <f>+'Balance sheet_'!P31</f>
        <v>339130</v>
      </c>
      <c r="S85" s="13">
        <f>+'Balance sheet_'!R31</f>
        <v>885348</v>
      </c>
      <c r="T85" s="14">
        <f>+'Balance sheet_'!R31</f>
        <v>885348</v>
      </c>
    </row>
    <row r="86" spans="2:20" s="5" customFormat="1" ht="11.5" x14ac:dyDescent="0.25">
      <c r="B86" s="59" t="s">
        <v>188</v>
      </c>
      <c r="C86" s="60">
        <v>20655</v>
      </c>
      <c r="D86" s="61">
        <v>33887</v>
      </c>
      <c r="E86" s="60">
        <f>+E85+E83+E82</f>
        <v>149774</v>
      </c>
      <c r="F86" s="62">
        <f>+F85+F83+F82</f>
        <v>1094110</v>
      </c>
      <c r="G86" s="60">
        <f>+G85+G83+G82</f>
        <v>207033</v>
      </c>
      <c r="H86" s="62">
        <f>+H85+H83+H82</f>
        <v>104702</v>
      </c>
      <c r="I86" s="60">
        <f>+I82+I83+I85</f>
        <v>1063806</v>
      </c>
      <c r="J86" s="61">
        <f>+J85+J83+J82</f>
        <v>84981</v>
      </c>
      <c r="K86" s="60">
        <f>+K82+K83+K85</f>
        <v>1241992</v>
      </c>
      <c r="L86" s="61">
        <f>+L85+L83+L82</f>
        <v>627884</v>
      </c>
      <c r="M86" s="60">
        <f>+M82+M83+M85</f>
        <v>2592821</v>
      </c>
      <c r="N86" s="61">
        <f>+N85+N83+N82</f>
        <v>298730</v>
      </c>
      <c r="O86" s="60">
        <f>+O82+O83+O85</f>
        <v>2676137</v>
      </c>
      <c r="P86" s="61">
        <f>+P85+P83+P82</f>
        <v>339130</v>
      </c>
      <c r="Q86" s="60">
        <f>+Q82+Q83+Q85</f>
        <v>2236416</v>
      </c>
      <c r="R86" s="61">
        <f>+R85+R83+R82</f>
        <v>885348</v>
      </c>
      <c r="S86" s="60">
        <f>+S82+S83+S85</f>
        <v>3106730</v>
      </c>
      <c r="T86" s="61">
        <f>+T85+T83+T82</f>
        <v>1445200</v>
      </c>
    </row>
    <row r="87" spans="2:20" s="5" customFormat="1" ht="12" x14ac:dyDescent="0.3">
      <c r="B87" s="36" t="s">
        <v>189</v>
      </c>
      <c r="C87" s="6">
        <f>C85+C83+C82-C86+C84</f>
        <v>0</v>
      </c>
      <c r="D87" s="6">
        <f t="shared" ref="D87:T87" si="8">D85+D83+D82-D86+D84</f>
        <v>0</v>
      </c>
      <c r="E87" s="6">
        <f t="shared" si="8"/>
        <v>0</v>
      </c>
      <c r="F87" s="6">
        <f t="shared" si="8"/>
        <v>0</v>
      </c>
      <c r="G87" s="6">
        <f t="shared" si="8"/>
        <v>0</v>
      </c>
      <c r="H87" s="6">
        <f>H85+H83+H82-H86+H84</f>
        <v>0</v>
      </c>
      <c r="I87" s="6">
        <f t="shared" si="8"/>
        <v>0</v>
      </c>
      <c r="J87" s="6">
        <f t="shared" si="8"/>
        <v>0</v>
      </c>
      <c r="K87" s="6">
        <f t="shared" si="8"/>
        <v>0</v>
      </c>
      <c r="L87" s="6">
        <f t="shared" si="8"/>
        <v>0</v>
      </c>
      <c r="M87" s="6">
        <f t="shared" si="8"/>
        <v>0</v>
      </c>
      <c r="N87" s="6">
        <f t="shared" si="8"/>
        <v>0</v>
      </c>
      <c r="O87" s="6">
        <f t="shared" si="8"/>
        <v>0</v>
      </c>
      <c r="P87" s="6">
        <f t="shared" si="8"/>
        <v>0</v>
      </c>
      <c r="Q87" s="6">
        <f t="shared" si="8"/>
        <v>0</v>
      </c>
      <c r="R87" s="63">
        <f t="shared" si="8"/>
        <v>0</v>
      </c>
      <c r="S87" s="6">
        <f t="shared" si="8"/>
        <v>0</v>
      </c>
      <c r="T87" s="63">
        <f t="shared" si="8"/>
        <v>0</v>
      </c>
    </row>
    <row r="88" spans="2:20" s="5" customFormat="1" ht="11.5" x14ac:dyDescent="0.25">
      <c r="C88" s="6"/>
      <c r="D88" s="7"/>
      <c r="E88" s="6"/>
      <c r="F88" s="8"/>
      <c r="G88" s="6"/>
      <c r="H88" s="8"/>
      <c r="I88" s="6"/>
      <c r="J88" s="7"/>
      <c r="K88" s="6"/>
      <c r="L88" s="7"/>
      <c r="M88" s="6"/>
      <c r="N88" s="7"/>
      <c r="O88" s="6"/>
      <c r="P88" s="7"/>
      <c r="Q88" s="6"/>
      <c r="R88" s="7"/>
      <c r="S88" s="6"/>
      <c r="T88" s="7"/>
    </row>
    <row r="89" spans="2:20" x14ac:dyDescent="0.35"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5"/>
  <sheetViews>
    <sheetView showGridLines="0" tabSelected="1" zoomScale="115" zoomScaleNormal="115" workbookViewId="0">
      <pane xSplit="2" ySplit="1" topLeftCell="C2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4.5" outlineLevelCol="1" x14ac:dyDescent="0.35"/>
  <cols>
    <col min="1" max="1" width="1.453125" customWidth="1"/>
    <col min="2" max="2" width="33.7265625" customWidth="1"/>
    <col min="3" max="3" width="10" hidden="1" customWidth="1" outlineLevel="1"/>
    <col min="4" max="4" width="10" bestFit="1" customWidth="1" collapsed="1"/>
    <col min="5" max="5" width="10" hidden="1" customWidth="1" outlineLevel="1"/>
    <col min="6" max="6" width="10" bestFit="1" customWidth="1" collapsed="1"/>
    <col min="7" max="7" width="10" hidden="1" customWidth="1" outlineLevel="1"/>
    <col min="8" max="8" width="10" bestFit="1" customWidth="1" collapsed="1"/>
    <col min="9" max="9" width="11" hidden="1" customWidth="1" outlineLevel="1"/>
    <col min="10" max="10" width="11" bestFit="1" customWidth="1" collapsed="1"/>
    <col min="11" max="11" width="11" hidden="1" customWidth="1" outlineLevel="1"/>
    <col min="12" max="12" width="11" bestFit="1" customWidth="1" collapsed="1"/>
    <col min="13" max="13" width="11" hidden="1" customWidth="1" outlineLevel="1"/>
    <col min="14" max="14" width="11" bestFit="1" customWidth="1" collapsed="1"/>
    <col min="15" max="15" width="11" hidden="1" customWidth="1" outlineLevel="1"/>
    <col min="16" max="16" width="11" bestFit="1" customWidth="1" collapsed="1"/>
    <col min="17" max="17" width="11" hidden="1" customWidth="1" outlineLevel="1"/>
    <col min="18" max="18" width="11" bestFit="1" customWidth="1" collapsed="1"/>
    <col min="19" max="19" width="11" hidden="1" customWidth="1" outlineLevel="1"/>
    <col min="20" max="20" width="11" bestFit="1" customWidth="1" collapsed="1"/>
  </cols>
  <sheetData>
    <row r="1" spans="2:20" s="4" customFormat="1" ht="21" customHeight="1" x14ac:dyDescent="0.35">
      <c r="B1" s="1"/>
      <c r="C1" s="2" t="s">
        <v>0</v>
      </c>
      <c r="D1" s="3">
        <v>2016</v>
      </c>
      <c r="E1" s="2" t="s">
        <v>1</v>
      </c>
      <c r="F1" s="1">
        <v>2017</v>
      </c>
      <c r="G1" s="2" t="s">
        <v>2</v>
      </c>
      <c r="H1" s="1">
        <v>2018</v>
      </c>
      <c r="I1" s="2" t="s">
        <v>3</v>
      </c>
      <c r="J1" s="3">
        <v>2019</v>
      </c>
      <c r="K1" s="2" t="s">
        <v>4</v>
      </c>
      <c r="L1" s="3">
        <v>2020</v>
      </c>
      <c r="M1" s="2" t="s">
        <v>5</v>
      </c>
      <c r="N1" s="3">
        <v>2021</v>
      </c>
      <c r="O1" s="2" t="s">
        <v>6</v>
      </c>
      <c r="P1" s="3">
        <v>2022</v>
      </c>
      <c r="Q1" s="2" t="s">
        <v>7</v>
      </c>
      <c r="R1" s="3">
        <v>2023</v>
      </c>
      <c r="S1" s="2" t="s">
        <v>8</v>
      </c>
      <c r="T1" s="3">
        <v>2024</v>
      </c>
    </row>
    <row r="2" spans="2:20" s="5" customFormat="1" ht="18" x14ac:dyDescent="0.4">
      <c r="B2" s="9" t="s">
        <v>190</v>
      </c>
      <c r="C2" s="10"/>
      <c r="D2" s="11"/>
      <c r="E2" s="10"/>
      <c r="F2" s="12"/>
      <c r="G2" s="10"/>
      <c r="H2" s="12"/>
      <c r="I2" s="10"/>
      <c r="J2" s="11"/>
      <c r="K2" s="10"/>
      <c r="L2" s="11"/>
      <c r="M2" s="10"/>
      <c r="N2" s="11"/>
      <c r="O2" s="10"/>
      <c r="P2" s="11"/>
      <c r="Q2" s="10"/>
      <c r="R2" s="11"/>
      <c r="S2" s="10"/>
      <c r="T2" s="11"/>
    </row>
    <row r="3" spans="2:20" s="5" customFormat="1" ht="11.5" x14ac:dyDescent="0.25">
      <c r="C3" s="6"/>
      <c r="D3" s="7"/>
      <c r="E3" s="6"/>
      <c r="F3" s="8"/>
      <c r="G3" s="6"/>
      <c r="H3" s="8"/>
      <c r="I3" s="6"/>
      <c r="J3" s="7"/>
      <c r="K3" s="6"/>
      <c r="L3" s="7"/>
      <c r="M3" s="6"/>
      <c r="N3" s="7"/>
      <c r="O3" s="6"/>
      <c r="P3" s="7"/>
      <c r="Q3" s="6"/>
      <c r="R3" s="7"/>
      <c r="S3" s="6"/>
      <c r="T3" s="7"/>
    </row>
    <row r="4" spans="2:20" s="5" customFormat="1" ht="11.5" x14ac:dyDescent="0.25">
      <c r="C4" s="6"/>
      <c r="D4" s="7"/>
      <c r="E4" s="6"/>
      <c r="F4" s="8"/>
      <c r="G4" s="6"/>
      <c r="H4" s="8"/>
      <c r="I4" s="6"/>
      <c r="J4" s="7"/>
      <c r="K4" s="6"/>
      <c r="L4" s="7"/>
      <c r="M4" s="6"/>
      <c r="N4" s="7"/>
      <c r="O4" s="6"/>
      <c r="P4" s="7"/>
      <c r="Q4" s="6"/>
      <c r="R4" s="7"/>
      <c r="S4" s="6"/>
      <c r="T4" s="7"/>
    </row>
    <row r="5" spans="2:20" s="5" customFormat="1" ht="11.5" x14ac:dyDescent="0.25">
      <c r="B5" s="5" t="s">
        <v>191</v>
      </c>
      <c r="C5" s="21">
        <v>795.38830500000006</v>
      </c>
      <c r="D5" s="22">
        <v>5246.0111449999995</v>
      </c>
      <c r="E5" s="21">
        <v>6844.3165549999985</v>
      </c>
      <c r="F5" s="23">
        <v>10036.689484999999</v>
      </c>
      <c r="G5" s="21">
        <v>683.41820000000018</v>
      </c>
      <c r="H5" s="23">
        <v>6499.8203189999995</v>
      </c>
      <c r="I5" s="21">
        <v>9424</v>
      </c>
      <c r="J5" s="22">
        <v>16967</v>
      </c>
      <c r="K5" s="21">
        <v>9607</v>
      </c>
      <c r="L5" s="22">
        <v>15509</v>
      </c>
      <c r="M5" s="21">
        <v>12993</v>
      </c>
      <c r="N5" s="22">
        <v>27865</v>
      </c>
      <c r="O5" s="21">
        <v>15745</v>
      </c>
      <c r="P5" s="22">
        <v>25570</v>
      </c>
      <c r="Q5" s="21">
        <v>13680</v>
      </c>
      <c r="R5" s="22">
        <v>28206.141466000015</v>
      </c>
      <c r="S5" s="21">
        <v>16290</v>
      </c>
      <c r="T5" s="22">
        <v>25739</v>
      </c>
    </row>
    <row r="6" spans="2:20" s="5" customFormat="1" ht="11.5" x14ac:dyDescent="0.25">
      <c r="B6" s="5" t="s">
        <v>192</v>
      </c>
      <c r="C6" s="21">
        <f>4957+371</f>
        <v>5328</v>
      </c>
      <c r="D6" s="22">
        <f>9195+1366</f>
        <v>10561</v>
      </c>
      <c r="E6" s="21">
        <f>2858+324</f>
        <v>3182</v>
      </c>
      <c r="F6" s="23">
        <v>5037</v>
      </c>
      <c r="G6" s="21">
        <f>6122+1308</f>
        <v>7430</v>
      </c>
      <c r="H6" s="23">
        <v>17156</v>
      </c>
      <c r="I6" s="21">
        <f>10930+791</f>
        <v>11721</v>
      </c>
      <c r="J6" s="22">
        <v>16205</v>
      </c>
      <c r="K6" s="21">
        <f>7784+1547</f>
        <v>9331</v>
      </c>
      <c r="L6" s="22">
        <f>28199</f>
        <v>28199</v>
      </c>
      <c r="M6" s="21">
        <f>20783+1455</f>
        <v>22238</v>
      </c>
      <c r="N6" s="22">
        <v>29738</v>
      </c>
      <c r="O6" s="21">
        <v>19528</v>
      </c>
      <c r="P6" s="22">
        <v>36239</v>
      </c>
      <c r="Q6" s="21">
        <v>30969</v>
      </c>
      <c r="R6" s="22">
        <v>33984</v>
      </c>
      <c r="S6" s="21">
        <v>15580</v>
      </c>
      <c r="T6" s="22">
        <v>22591</v>
      </c>
    </row>
    <row r="7" spans="2:20" s="5" customFormat="1" ht="11.5" x14ac:dyDescent="0.25">
      <c r="B7" s="59" t="s">
        <v>193</v>
      </c>
      <c r="C7" s="65">
        <f>(PL!C7+PL!C8+PL!C9)/C5</f>
        <v>366.75922711737633</v>
      </c>
      <c r="D7" s="66">
        <f>(PL!D7+PL!D8+PL!D9)/D5</f>
        <v>470.75900750874217</v>
      </c>
      <c r="E7" s="65">
        <f>(PL!E7+PL!E8+PL!E9)/E5</f>
        <v>487.60485772125435</v>
      </c>
      <c r="F7" s="66">
        <f>(PL!F7+PL!F8+PL!F9)/F5</f>
        <v>499.1828239269276</v>
      </c>
      <c r="G7" s="65">
        <f>(PL!G7+PL!G8+PL!G9)/G5</f>
        <v>438.21484414667316</v>
      </c>
      <c r="H7" s="66">
        <f>(PL!H7+PL!H8+PL!H9)/H5</f>
        <v>491.32296636952623</v>
      </c>
      <c r="I7" s="65">
        <f>(PL!I7+PL!I8+PL!I9)/I5</f>
        <v>513.39717741935488</v>
      </c>
      <c r="J7" s="66">
        <f>(PL!J7+PL!J8+PL!J9)/J5</f>
        <v>517.38132846113047</v>
      </c>
      <c r="K7" s="65">
        <f>(PL!K7+PL!K8+PL!K9)/K5</f>
        <v>546.51764338503176</v>
      </c>
      <c r="L7" s="66">
        <f>(PL!L7+PL!L8+PL!L9)/L5</f>
        <v>535.58288735572899</v>
      </c>
      <c r="M7" s="65">
        <f>(PL!M7+PL!M8+PL!M9)/M5</f>
        <v>514.29007927345492</v>
      </c>
      <c r="N7" s="66">
        <f>(PL!N7+PL!N8+PL!N9)/N5</f>
        <v>567.71559303786114</v>
      </c>
      <c r="O7" s="65">
        <f>(PL!O7+PL!O8+PL!O9)/O5</f>
        <v>904.15058748809145</v>
      </c>
      <c r="P7" s="66">
        <f>(PL!P7+PL!P8+PL!P9)/P5</f>
        <v>912.24747751271025</v>
      </c>
      <c r="Q7" s="65">
        <f>(PL!Q7+PL!Q8+PL!Q9)/Q5</f>
        <v>927.76549707602339</v>
      </c>
      <c r="R7" s="66">
        <f>(PL!R7+PL!R8+PL!R9)/R5</f>
        <v>989.9487327487966</v>
      </c>
      <c r="S7" s="65">
        <f>(PL!S7+PL!S8+PL!S9)/S5</f>
        <v>1096.1678330263965</v>
      </c>
      <c r="T7" s="66">
        <f>(PL!T7+PL!T8+PL!T9)/T5</f>
        <v>1191.6704223163292</v>
      </c>
    </row>
    <row r="8" spans="2:20" s="5" customFormat="1" ht="24.75" customHeight="1" x14ac:dyDescent="0.25">
      <c r="C8" s="6"/>
      <c r="D8" s="7"/>
      <c r="E8" s="6"/>
      <c r="F8" s="8"/>
      <c r="G8" s="6"/>
      <c r="H8" s="8"/>
      <c r="I8" s="6"/>
      <c r="J8" s="8"/>
      <c r="K8" s="6"/>
      <c r="L8" s="8"/>
      <c r="M8" s="6"/>
      <c r="N8" s="8"/>
      <c r="O8" s="6"/>
      <c r="P8" s="8"/>
      <c r="Q8" s="6"/>
      <c r="R8" s="8"/>
      <c r="S8" s="6"/>
      <c r="T8" s="8"/>
    </row>
    <row r="9" spans="2:20" s="5" customFormat="1" ht="18" x14ac:dyDescent="0.4">
      <c r="B9" s="9" t="s">
        <v>194</v>
      </c>
      <c r="C9" s="10"/>
      <c r="D9" s="11"/>
      <c r="E9" s="10"/>
      <c r="F9" s="12"/>
      <c r="G9" s="10"/>
      <c r="H9" s="12"/>
      <c r="I9" s="10"/>
      <c r="J9" s="12"/>
      <c r="K9" s="10"/>
      <c r="L9" s="12"/>
      <c r="M9" s="10"/>
      <c r="N9" s="12"/>
      <c r="O9" s="10"/>
      <c r="P9" s="12"/>
      <c r="Q9" s="10"/>
      <c r="R9" s="12"/>
      <c r="S9" s="10"/>
      <c r="T9" s="12"/>
    </row>
    <row r="10" spans="2:20" s="5" customFormat="1" ht="18" x14ac:dyDescent="0.4">
      <c r="B10" s="9"/>
      <c r="C10" s="67"/>
      <c r="D10" s="12"/>
      <c r="E10" s="10"/>
      <c r="F10" s="12"/>
      <c r="G10" s="10"/>
      <c r="H10" s="12"/>
      <c r="I10" s="10"/>
      <c r="J10" s="12"/>
      <c r="K10" s="10"/>
      <c r="L10" s="12"/>
      <c r="M10" s="10"/>
      <c r="N10" s="12"/>
      <c r="O10" s="10"/>
      <c r="P10" s="12"/>
      <c r="Q10" s="10"/>
      <c r="R10" s="12"/>
      <c r="S10" s="10"/>
      <c r="T10" s="12"/>
    </row>
    <row r="11" spans="2:20" s="5" customFormat="1" ht="11.5" x14ac:dyDescent="0.25">
      <c r="B11" s="68" t="s">
        <v>195</v>
      </c>
      <c r="C11" s="69">
        <f>'Balance sheet_'!C47+'Balance sheet_'!C54-'Balance sheet_'!C31</f>
        <v>5274451</v>
      </c>
      <c r="D11" s="70">
        <f>'Balance sheet_'!D47+'Balance sheet_'!D54-'Balance sheet_'!D31</f>
        <v>3166113</v>
      </c>
      <c r="E11" s="71">
        <f>'Balance sheet_'!E47+'Balance sheet_'!E54-'Balance sheet_'!E31</f>
        <v>1247713</v>
      </c>
      <c r="F11" s="70">
        <f>'Balance sheet_'!F47+'Balance sheet_'!F54-'Balance sheet_'!F31</f>
        <v>742447</v>
      </c>
      <c r="G11" s="71">
        <f>'Balance sheet_'!G47+'Balance sheet_'!G54-'Balance sheet_'!G31-'Balance sheet_'!G12-'Balance sheet_'!G15</f>
        <v>2665807</v>
      </c>
      <c r="H11" s="70">
        <f>'Balance sheet_'!H47+'Balance sheet_'!H54-'Balance sheet_'!H31-'Balance sheet_'!H12</f>
        <v>3747466</v>
      </c>
      <c r="I11" s="71">
        <f>'Balance sheet_'!I47+'Balance sheet_'!I54-'Balance sheet_'!I31</f>
        <v>3145866</v>
      </c>
      <c r="J11" s="70">
        <f>'Balance sheet_'!J47+'Balance sheet_'!J54-'Balance sheet_'!J31</f>
        <v>4038984</v>
      </c>
      <c r="K11" s="71">
        <f>'Balance sheet_'!K47+'Balance sheet_'!K54-'Balance sheet_'!K31</f>
        <v>3091896</v>
      </c>
      <c r="L11" s="70">
        <f>'Balance sheet_'!L47+'Balance sheet_'!L54-'Balance sheet_'!L31</f>
        <v>6094489</v>
      </c>
      <c r="M11" s="71">
        <f>'Balance sheet_'!M47+'Balance sheet_'!M54-'Balance sheet_'!M31</f>
        <v>6605626</v>
      </c>
      <c r="N11" s="70">
        <f>'Balance sheet_'!N47+'Balance sheet_'!N54-'Balance sheet_'!N31</f>
        <v>8007401</v>
      </c>
      <c r="O11" s="71">
        <f>'Balance sheet_'!O47+'Balance sheet_'!O54-'Balance sheet_'!O31</f>
        <v>4888901</v>
      </c>
      <c r="P11" s="70">
        <f>'Balance sheet_'!P47+'Balance sheet_'!P54-'Balance sheet_'!P31</f>
        <v>13384504</v>
      </c>
      <c r="Q11" s="71">
        <f>'Balance sheet_'!Q47+'Balance sheet_'!Q54-'Balance sheet_'!Q31</f>
        <v>11490310</v>
      </c>
      <c r="R11" s="70">
        <f>'Balance sheet_'!R47+'Balance sheet_'!R54-'Balance sheet_'!R31</f>
        <v>13597302</v>
      </c>
      <c r="S11" s="71">
        <f>'Balance sheet_'!S47+'Balance sheet_'!S54-'Balance sheet_'!S31</f>
        <v>6072388</v>
      </c>
      <c r="T11" s="72">
        <f>'Balance sheet_'!T47+'Balance sheet_'!T54-'Balance sheet_'!T31</f>
        <v>12675616</v>
      </c>
    </row>
    <row r="12" spans="2:20" s="5" customFormat="1" ht="11.5" x14ac:dyDescent="0.25">
      <c r="B12" s="68" t="s">
        <v>196</v>
      </c>
      <c r="C12" s="69">
        <f>'Balance sheet_'!C47+'Balance sheet_'!C54</f>
        <v>5295106</v>
      </c>
      <c r="D12" s="70">
        <f>'Balance sheet_'!D47+'Balance sheet_'!D54</f>
        <v>3200000</v>
      </c>
      <c r="E12" s="71">
        <f>'Balance sheet_'!E47+'Balance sheet_'!E54</f>
        <v>1397487</v>
      </c>
      <c r="F12" s="70">
        <f>'Balance sheet_'!F47+'Balance sheet_'!F54</f>
        <v>1836557</v>
      </c>
      <c r="G12" s="71">
        <f>'Balance sheet_'!G47+'Balance sheet_'!G54</f>
        <v>3272840</v>
      </c>
      <c r="H12" s="70">
        <f>'Balance sheet_'!H47+'Balance sheet_'!H54</f>
        <v>4302168</v>
      </c>
      <c r="I12" s="71">
        <f>'Balance sheet_'!I47+'Balance sheet_'!I54</f>
        <v>4209672</v>
      </c>
      <c r="J12" s="70">
        <f>'Balance sheet_'!J47+'Balance sheet_'!J54</f>
        <v>4123965</v>
      </c>
      <c r="K12" s="71">
        <f>'Balance sheet_'!K47+'Balance sheet_'!K54</f>
        <v>4333888</v>
      </c>
      <c r="L12" s="70">
        <f>'Balance sheet_'!L47+'Balance sheet_'!L54</f>
        <v>6722373</v>
      </c>
      <c r="M12" s="71">
        <f>'Balance sheet_'!M47+'Balance sheet_'!M54</f>
        <v>9198447</v>
      </c>
      <c r="N12" s="70">
        <f>'Balance sheet_'!N47+'Balance sheet_'!N54</f>
        <v>8306131</v>
      </c>
      <c r="O12" s="71">
        <f>'Balance sheet_'!O47+'Balance sheet_'!O54</f>
        <v>7565038</v>
      </c>
      <c r="P12" s="70">
        <f>'Balance sheet_'!P47+'Balance sheet_'!P54</f>
        <v>13723634</v>
      </c>
      <c r="Q12" s="71">
        <f>'Balance sheet_'!Q47+'Balance sheet_'!Q54</f>
        <v>13726726</v>
      </c>
      <c r="R12" s="70">
        <f>'Balance sheet_'!R47+'Balance sheet_'!R54</f>
        <v>14482650</v>
      </c>
      <c r="S12" s="71">
        <f>'Balance sheet_'!S47+'Balance sheet_'!S54</f>
        <v>9179118</v>
      </c>
      <c r="T12" s="70">
        <f>'Balance sheet_'!T47+'Balance sheet_'!T54</f>
        <v>14120816</v>
      </c>
    </row>
    <row r="13" spans="2:20" s="5" customFormat="1" ht="11.5" x14ac:dyDescent="0.25">
      <c r="B13" s="68"/>
      <c r="C13" s="69"/>
      <c r="D13" s="70"/>
      <c r="E13" s="71"/>
      <c r="F13" s="70"/>
      <c r="G13" s="71"/>
      <c r="H13" s="70"/>
      <c r="I13" s="71"/>
      <c r="J13" s="70"/>
      <c r="K13" s="71"/>
      <c r="L13" s="70"/>
      <c r="M13" s="71"/>
      <c r="N13" s="70"/>
      <c r="O13" s="71"/>
      <c r="P13" s="70"/>
      <c r="Q13" s="71"/>
      <c r="R13" s="70"/>
      <c r="S13" s="71"/>
      <c r="T13" s="70"/>
    </row>
    <row r="14" spans="2:20" s="5" customFormat="1" ht="11.5" x14ac:dyDescent="0.25">
      <c r="B14" s="73" t="s">
        <v>197</v>
      </c>
      <c r="C14" s="6"/>
      <c r="D14" s="8"/>
      <c r="E14" s="6"/>
      <c r="F14" s="8"/>
      <c r="G14" s="6"/>
      <c r="H14" s="8"/>
      <c r="I14" s="6"/>
      <c r="J14" s="8"/>
      <c r="K14" s="6"/>
      <c r="L14" s="8"/>
      <c r="M14" s="6"/>
      <c r="N14" s="8"/>
      <c r="O14" s="6"/>
      <c r="P14" s="8"/>
      <c r="Q14" s="6"/>
      <c r="R14" s="8"/>
      <c r="S14" s="6"/>
      <c r="T14" s="8"/>
    </row>
    <row r="15" spans="2:20" s="5" customFormat="1" ht="11.5" x14ac:dyDescent="0.25">
      <c r="B15" s="5" t="s">
        <v>198</v>
      </c>
      <c r="C15" s="74">
        <f>(PL!C20)/PL!C6</f>
        <v>-0.33226949395504829</v>
      </c>
      <c r="D15" s="75">
        <f>(PL!D20)/PL!D6</f>
        <v>0.44203418422251739</v>
      </c>
      <c r="E15" s="74">
        <f>(PL!E20)/PL!E6</f>
        <v>0.12274264787475328</v>
      </c>
      <c r="F15" s="75">
        <f>(PL!F20)/PL!F6</f>
        <v>0.17717235882213908</v>
      </c>
      <c r="G15" s="74">
        <f>(PL!G20)/PL!G6</f>
        <v>2.0574443718888126E-3</v>
      </c>
      <c r="H15" s="75">
        <f>(PL!H20)/PL!H6</f>
        <v>0.31418538958491354</v>
      </c>
      <c r="I15" s="74">
        <f>(PL!I20)/PL!I6</f>
        <v>0.46219482220423358</v>
      </c>
      <c r="J15" s="76">
        <f>(PL!J20)/PL!J6</f>
        <v>0.44967551693497221</v>
      </c>
      <c r="K15" s="74">
        <f>(PL!K20)/PL!K6</f>
        <v>0.43522665708089175</v>
      </c>
      <c r="L15" s="76">
        <f>(PL!L20)/PL!L6</f>
        <v>0.40056240963051815</v>
      </c>
      <c r="M15" s="74">
        <f>(PL!M20)/PL!M6</f>
        <v>0.39105922296090839</v>
      </c>
      <c r="N15" s="76">
        <f>(PL!N20)/PL!N6</f>
        <v>0.44389295073968443</v>
      </c>
      <c r="O15" s="74">
        <f>(PL!O20)/PL!O6</f>
        <v>0.613091845375763</v>
      </c>
      <c r="P15" s="76">
        <f>(PL!P20)/PL!P6</f>
        <v>0.58404567642222349</v>
      </c>
      <c r="Q15" s="74">
        <f>(PL!Q20)/PL!Q6</f>
        <v>0.53693822593612683</v>
      </c>
      <c r="R15" s="76">
        <f>(PL!R20)/PL!R6</f>
        <v>0.52713643298434143</v>
      </c>
      <c r="S15" s="74">
        <f>(PL!S20)/PL!S6</f>
        <v>0.52421489884082706</v>
      </c>
      <c r="T15" s="76">
        <f>(PL!T20)/PL!T6</f>
        <v>0.51258664925608566</v>
      </c>
    </row>
    <row r="16" spans="2:20" s="5" customFormat="1" ht="11.5" x14ac:dyDescent="0.25">
      <c r="B16" s="5" t="s">
        <v>199</v>
      </c>
      <c r="C16" s="77" t="s">
        <v>200</v>
      </c>
      <c r="D16" s="75">
        <f>(PL!D59-PL!D51)/PL!D6</f>
        <v>0.37628174676271081</v>
      </c>
      <c r="E16" s="77" t="s">
        <v>200</v>
      </c>
      <c r="F16" s="75">
        <f>(PL!F59-PL!F51)/PL!F6</f>
        <v>0.36323663847320847</v>
      </c>
      <c r="G16" s="74">
        <f>(PL!G59-PL!G51)/PL!G6</f>
        <v>-0.20817924376614044</v>
      </c>
      <c r="H16" s="75">
        <f>(PL!H59-PL!H51)/PL!H6</f>
        <v>0.25185080701911711</v>
      </c>
      <c r="I16" s="74">
        <f>(PL!I59-PL!I51)/PL!I6</f>
        <v>0.40981052136241997</v>
      </c>
      <c r="J16" s="76">
        <f>(PL!J59-PL!J51)/PL!J6</f>
        <v>0.34061970139238229</v>
      </c>
      <c r="K16" s="74">
        <f>(PL!K59-PL!K51)/PL!K6</f>
        <v>0.39138087108889824</v>
      </c>
      <c r="L16" s="76">
        <f>(PL!L59-PL!L51)/PL!L6</f>
        <v>0.34499551758972646</v>
      </c>
      <c r="M16" s="74">
        <f>(PL!M59-PL!M51)/PL!M6</f>
        <v>0.30214834268984275</v>
      </c>
      <c r="N16" s="78">
        <f>(PL!N59-PL!N51)/PL!N6</f>
        <v>0.37570365591722377</v>
      </c>
      <c r="O16" s="74">
        <f>(PL!O59-PL!O51)/PL!O6</f>
        <v>0.54387791244940031</v>
      </c>
      <c r="P16" s="76">
        <f>(PL!P59-PL!P51)/PL!P6</f>
        <v>0.51074566512481512</v>
      </c>
      <c r="Q16" s="74">
        <f>(PL!Q59-PL!Q51)/PL!Q6</f>
        <v>0.44208866400880836</v>
      </c>
      <c r="R16" s="76">
        <f>(PL!R59-PL!R51)/PL!R6</f>
        <v>0.40782189264920277</v>
      </c>
      <c r="S16" s="74">
        <f>(PL!S59-PL!S51)/PL!S6</f>
        <v>0.35774974265328013</v>
      </c>
      <c r="T16" s="76">
        <f>(PL!T59-PL!T51)/PL!T6</f>
        <v>0.35186213797133087</v>
      </c>
    </row>
    <row r="17" spans="2:20" s="20" customFormat="1" ht="11.5" x14ac:dyDescent="0.25">
      <c r="B17" s="20" t="s">
        <v>201</v>
      </c>
      <c r="C17" s="79" t="s">
        <v>200</v>
      </c>
      <c r="D17" s="80">
        <f>PL!D59/PL!D6</f>
        <v>0.40984145604493266</v>
      </c>
      <c r="E17" s="79" t="s">
        <v>200</v>
      </c>
      <c r="F17" s="81">
        <f>PL!F59/PL!F6</f>
        <v>0.41046401625459694</v>
      </c>
      <c r="G17" s="82">
        <f>PL!G59/PL!G6</f>
        <v>-0.13688075682451345</v>
      </c>
      <c r="H17" s="81">
        <f>PL!H59/PL!H6</f>
        <v>0.30315465448073403</v>
      </c>
      <c r="I17" s="82">
        <f>PL!I59/PL!I6</f>
        <v>0.44948386659461148</v>
      </c>
      <c r="J17" s="83">
        <f>PL!J59/PL!J6</f>
        <v>0.39006492389099623</v>
      </c>
      <c r="K17" s="82">
        <f>PL!K59/PL!K6</f>
        <v>0.43705329524649722</v>
      </c>
      <c r="L17" s="83">
        <f>PL!L59/PL!L6</f>
        <v>0.40482660755859251</v>
      </c>
      <c r="M17" s="82">
        <f>PL!M59/PL!M6</f>
        <v>0.35986515194075186</v>
      </c>
      <c r="N17" s="83">
        <f>PL!N59/PL!N6</f>
        <v>0.42473648271386966</v>
      </c>
      <c r="O17" s="82">
        <f>PL!O59/PL!O6</f>
        <v>0.57543654729155469</v>
      </c>
      <c r="P17" s="83">
        <f>PL!P59/PL!P6</f>
        <v>0.55029029658994855</v>
      </c>
      <c r="Q17" s="82">
        <f>PL!Q59/PL!Q6</f>
        <v>0.48655951907643941</v>
      </c>
      <c r="R17" s="83">
        <f>PL!R59/PL!R6</f>
        <v>0.45173047663225319</v>
      </c>
      <c r="S17" s="82">
        <f>PL!S59/PL!S6</f>
        <v>0.40395236823308694</v>
      </c>
      <c r="T17" s="84">
        <f>PL!T59/PL!T6</f>
        <v>0.39556523439362384</v>
      </c>
    </row>
    <row r="18" spans="2:20" s="20" customFormat="1" ht="11.5" x14ac:dyDescent="0.25">
      <c r="B18" s="85" t="s">
        <v>202</v>
      </c>
      <c r="C18" s="86">
        <f>PL!C47/PL!C6</f>
        <v>-0.29738931111892464</v>
      </c>
      <c r="D18" s="87">
        <f>PL!D47/PL!D6</f>
        <v>0.86166425909947297</v>
      </c>
      <c r="E18" s="86">
        <f>PL!E47/PL!E6</f>
        <v>1.7244963364622282E-2</v>
      </c>
      <c r="F18" s="88">
        <f>PL!F47/PL!F6</f>
        <v>7.4919450817956756E-2</v>
      </c>
      <c r="G18" s="86">
        <f>PL!G47/PL!G6</f>
        <v>0.50459889678979608</v>
      </c>
      <c r="H18" s="88">
        <f>PL!H47/PL!H6</f>
        <v>0.71333913734457766</v>
      </c>
      <c r="I18" s="86">
        <f>PL!I47/PL!I6</f>
        <v>0.20760836040725328</v>
      </c>
      <c r="J18" s="88">
        <f>PL!J47/PL!J6</f>
        <v>0.37029633672497264</v>
      </c>
      <c r="K18" s="86">
        <f>PL!K47/PL!K6</f>
        <v>-7.6475796711290123E-2</v>
      </c>
      <c r="L18" s="88">
        <f>PL!L47/PL!L6</f>
        <v>0.38055201365368679</v>
      </c>
      <c r="M18" s="86">
        <f>PL!M47/PL!M6</f>
        <v>0.29195271713897281</v>
      </c>
      <c r="N18" s="88">
        <f>PL!N47/PL!N6</f>
        <v>0.53430780026257418</v>
      </c>
      <c r="O18" s="86">
        <f>PL!O47/PL!O6</f>
        <v>0.57867794573822973</v>
      </c>
      <c r="P18" s="88">
        <f>PL!P47/PL!P6</f>
        <v>0.51978682577502666</v>
      </c>
      <c r="Q18" s="86">
        <f>PL!Q47/PL!Q6</f>
        <v>0.66896282658752459</v>
      </c>
      <c r="R18" s="88">
        <f>PL!R47/PL!R6</f>
        <v>0.54322598735817218</v>
      </c>
      <c r="S18" s="86">
        <f>PL!S47/PL!S6</f>
        <v>-7.7514753605468195E-2</v>
      </c>
      <c r="T18" s="88">
        <f>PL!T47/PL!T6</f>
        <v>0.24604971449555132</v>
      </c>
    </row>
    <row r="19" spans="2:20" s="5" customFormat="1" ht="11.5" x14ac:dyDescent="0.25">
      <c r="C19" s="89"/>
      <c r="D19" s="90"/>
      <c r="E19" s="89"/>
      <c r="G19" s="89"/>
      <c r="I19" s="89"/>
      <c r="K19" s="89"/>
      <c r="M19" s="89"/>
      <c r="O19" s="89"/>
      <c r="Q19" s="89"/>
      <c r="S19" s="89"/>
    </row>
    <row r="20" spans="2:20" s="5" customFormat="1" ht="11.5" x14ac:dyDescent="0.25">
      <c r="B20" s="73" t="s">
        <v>203</v>
      </c>
      <c r="C20" s="6"/>
      <c r="D20" s="8"/>
      <c r="E20" s="6"/>
      <c r="F20" s="8"/>
      <c r="G20" s="6"/>
      <c r="H20" s="8"/>
      <c r="I20" s="6"/>
      <c r="J20" s="8"/>
      <c r="K20" s="6"/>
      <c r="L20" s="8"/>
      <c r="M20" s="6"/>
      <c r="N20" s="8"/>
      <c r="O20" s="6"/>
      <c r="P20" s="8"/>
      <c r="Q20" s="6"/>
      <c r="R20" s="8"/>
      <c r="S20" s="6"/>
      <c r="T20" s="8"/>
    </row>
    <row r="21" spans="2:20" s="5" customFormat="1" ht="11.5" x14ac:dyDescent="0.25">
      <c r="B21" s="5" t="s">
        <v>204</v>
      </c>
      <c r="C21" s="77" t="s">
        <v>205</v>
      </c>
      <c r="D21" s="91" t="s">
        <v>205</v>
      </c>
      <c r="E21" s="77" t="s">
        <v>205</v>
      </c>
      <c r="F21" s="92">
        <f>PL!F6/(('Balance sheet_'!F26+'Balance sheet_'!D26-'Balance sheet_'!F60-'Balance sheet_'!D60)/2)</f>
        <v>30.003925176692697</v>
      </c>
      <c r="G21" s="77" t="s">
        <v>205</v>
      </c>
      <c r="H21" s="92">
        <f>PL!H6/(('Balance sheet_'!H26+'Balance sheet_'!F26-'Balance sheet_'!H60-'Balance sheet_'!F60)/2)</f>
        <v>19.257145940889714</v>
      </c>
      <c r="I21" s="77" t="s">
        <v>205</v>
      </c>
      <c r="J21" s="93">
        <f>PL!J6/(('Balance sheet_'!J26+'Balance sheet_'!H26-'Balance sheet_'!J60-'Balance sheet_'!H60)/2)</f>
        <v>20.191076575666894</v>
      </c>
      <c r="K21" s="77" t="s">
        <v>205</v>
      </c>
      <c r="L21" s="93">
        <f>PL!L6/(('Balance sheet_'!L26+'Balance sheet_'!J26-'Balance sheet_'!L60-'Balance sheet_'!J60)/2)</f>
        <v>15.833693279920679</v>
      </c>
      <c r="M21" s="77" t="s">
        <v>205</v>
      </c>
      <c r="N21" s="93">
        <f>PL!N6/(('Balance sheet_'!N26+'Balance sheet_'!L26-'Balance sheet_'!N60-'Balance sheet_'!L60)/2)</f>
        <v>15.763821399101495</v>
      </c>
      <c r="O21" s="77" t="s">
        <v>205</v>
      </c>
      <c r="P21" s="93">
        <f>PL!P6/(('Balance sheet_'!P26+'Balance sheet_'!N26-'Balance sheet_'!P60-'Balance sheet_'!N60)/2)</f>
        <v>11.644805886579293</v>
      </c>
      <c r="Q21" s="77" t="s">
        <v>205</v>
      </c>
      <c r="R21" s="93">
        <f>PL!R6/(('Balance sheet_'!R26+'Balance sheet_'!P26-'Balance sheet_'!R60-'Balance sheet_'!P60)/2)</f>
        <v>11.255790433639065</v>
      </c>
      <c r="S21" s="77" t="s">
        <v>205</v>
      </c>
      <c r="T21" s="93">
        <f>PL!T6/(('Balance sheet_'!T26+'Balance sheet_'!R26-'Balance sheet_'!T60-'Balance sheet_'!R60)/2)</f>
        <v>13.363102573150497</v>
      </c>
    </row>
    <row r="22" spans="2:20" s="5" customFormat="1" ht="11.5" x14ac:dyDescent="0.25">
      <c r="B22" s="5" t="s">
        <v>206</v>
      </c>
      <c r="C22" s="77" t="s">
        <v>205</v>
      </c>
      <c r="D22" s="91" t="s">
        <v>205</v>
      </c>
      <c r="E22" s="77" t="s">
        <v>205</v>
      </c>
      <c r="F22" s="23">
        <f>-PL!F12/((('Balance sheet_'!F56+'Balance sheet_'!F58)+('Balance sheet_'!D56+'Balance sheet_'!D58)-('Balance sheet_'!F28+'Balance sheet_'!D28))/2)</f>
        <v>-22.73711779820956</v>
      </c>
      <c r="G22" s="94" t="s">
        <v>205</v>
      </c>
      <c r="H22" s="23">
        <f>-PL!H12/((('Balance sheet_'!H56+'Balance sheet_'!H58)+('Balance sheet_'!F56+'Balance sheet_'!F58)-('Balance sheet_'!H28+'Balance sheet_'!F28))/2)</f>
        <v>-853.03756777691717</v>
      </c>
      <c r="I22" s="94" t="s">
        <v>205</v>
      </c>
      <c r="J22" s="95">
        <f>-PL!J12/((('Balance sheet_'!J56+'Balance sheet_'!J58)+('Balance sheet_'!H56+'Balance sheet_'!H58)-('Balance sheet_'!J28+'Balance sheet_'!H28))/2)</f>
        <v>33.070971928146982</v>
      </c>
      <c r="K22" s="94" t="s">
        <v>205</v>
      </c>
      <c r="L22" s="95">
        <f>-PL!L12/((('Balance sheet_'!L56+'Balance sheet_'!L58)+('Balance sheet_'!J56+'Balance sheet_'!J58)-('Balance sheet_'!L28+'Balance sheet_'!J28))/2)</f>
        <v>29.194013805755418</v>
      </c>
      <c r="M22" s="94" t="s">
        <v>205</v>
      </c>
      <c r="N22" s="95">
        <f>-PL!N12/((('Balance sheet_'!N56+'Balance sheet_'!N58)+('Balance sheet_'!L56+'Balance sheet_'!L58)-('Balance sheet_'!N28+'Balance sheet_'!L28))/2)</f>
        <v>51.145852669806764</v>
      </c>
      <c r="O22" s="94" t="s">
        <v>205</v>
      </c>
      <c r="P22" s="95">
        <f>-PL!P12/((('Balance sheet_'!P56+'Balance sheet_'!P58)+('Balance sheet_'!N56+'Balance sheet_'!N58)-('Balance sheet_'!P28+'Balance sheet_'!N28))/2)</f>
        <v>-6.6764913090708786</v>
      </c>
      <c r="Q22" s="94" t="s">
        <v>205</v>
      </c>
      <c r="R22" s="95">
        <f>-PL!R12/((('Balance sheet_'!R56+'Balance sheet_'!R58)+('Balance sheet_'!P56+'Balance sheet_'!P58)-('Balance sheet_'!R28+'Balance sheet_'!P28))/2)</f>
        <v>-5.0474799624453972</v>
      </c>
      <c r="S22" s="94" t="s">
        <v>205</v>
      </c>
      <c r="T22" s="95">
        <f>-PL!T12/((('Balance sheet_'!T56+'Balance sheet_'!T58)+('Balance sheet_'!R56+'Balance sheet_'!R58)-('Balance sheet_'!T28+'Balance sheet_'!R28))/2)</f>
        <v>-6.5997413882834941</v>
      </c>
    </row>
    <row r="23" spans="2:20" s="5" customFormat="1" ht="11.5" x14ac:dyDescent="0.25">
      <c r="B23" s="96" t="s">
        <v>207</v>
      </c>
      <c r="C23" s="97" t="s">
        <v>205</v>
      </c>
      <c r="D23" s="98" t="s">
        <v>205</v>
      </c>
      <c r="E23" s="97" t="s">
        <v>205</v>
      </c>
      <c r="F23" s="99">
        <f>-PL!F12/(('Balance sheet_'!F22+'Balance sheet_'!D22+'Balance sheet_'!F23+'Balance sheet_'!D23)/2)</f>
        <v>1.5346442434388885</v>
      </c>
      <c r="G23" s="97" t="s">
        <v>205</v>
      </c>
      <c r="H23" s="99">
        <f>-PL!H12/(('Balance sheet_'!H22+'Balance sheet_'!F22+'Balance sheet_'!H23+'Balance sheet_'!F23)/2)</f>
        <v>0.5296865158754952</v>
      </c>
      <c r="I23" s="97" t="s">
        <v>205</v>
      </c>
      <c r="J23" s="99">
        <f>-PL!J12/(('Balance sheet_'!J22+'Balance sheet_'!H22+'Balance sheet_'!J23+'Balance sheet_'!H23)/2)</f>
        <v>0.69718747507175738</v>
      </c>
      <c r="K23" s="97" t="s">
        <v>205</v>
      </c>
      <c r="L23" s="99">
        <f>-PL!L12/(('Balance sheet_'!L22+'Balance sheet_'!J22+'Balance sheet_'!L23+'Balance sheet_'!J23)/2)</f>
        <v>0.54434737053731364</v>
      </c>
      <c r="M23" s="97" t="s">
        <v>205</v>
      </c>
      <c r="N23" s="99">
        <f>-PL!N12/(('Balance sheet_'!N22+'Balance sheet_'!L22+'Balance sheet_'!N23+'Balance sheet_'!L23)/2)</f>
        <v>0.64852550595003056</v>
      </c>
      <c r="O23" s="97" t="s">
        <v>205</v>
      </c>
      <c r="P23" s="99">
        <f>-PL!P12/(('Balance sheet_'!P22+'Balance sheet_'!N22+'Balance sheet_'!P23+'Balance sheet_'!N23)/2)</f>
        <v>0.48794191235215079</v>
      </c>
      <c r="Q23" s="97" t="s">
        <v>205</v>
      </c>
      <c r="R23" s="99">
        <f>-PL!R12/(('Balance sheet_'!R22+'Balance sheet_'!P22+'Balance sheet_'!R23+'Balance sheet_'!P23)/2)</f>
        <v>0.46713772087657673</v>
      </c>
      <c r="S23" s="97" t="s">
        <v>205</v>
      </c>
      <c r="T23" s="99">
        <f>-PL!T12/(('Balance sheet_'!T22+'Balance sheet_'!R22+'Balance sheet_'!T23+'Balance sheet_'!R23)/2)</f>
        <v>0.48046654943111089</v>
      </c>
    </row>
    <row r="24" spans="2:20" s="5" customFormat="1" ht="11.5" x14ac:dyDescent="0.25">
      <c r="C24" s="89"/>
      <c r="D24" s="90"/>
      <c r="E24" s="89"/>
      <c r="G24" s="89"/>
      <c r="I24" s="89"/>
      <c r="K24" s="89"/>
      <c r="M24" s="89"/>
      <c r="O24" s="89"/>
      <c r="Q24" s="89"/>
      <c r="S24" s="89"/>
    </row>
    <row r="25" spans="2:20" s="5" customFormat="1" ht="11.5" x14ac:dyDescent="0.25">
      <c r="B25" s="73" t="s">
        <v>208</v>
      </c>
      <c r="C25" s="6"/>
      <c r="D25" s="8"/>
      <c r="E25" s="6"/>
      <c r="F25" s="8"/>
      <c r="G25" s="6"/>
      <c r="H25" s="8"/>
      <c r="I25" s="6"/>
      <c r="J25" s="8"/>
      <c r="K25" s="6"/>
      <c r="L25" s="8"/>
      <c r="M25" s="6"/>
      <c r="N25" s="8"/>
      <c r="O25" s="6"/>
      <c r="P25" s="8"/>
      <c r="Q25" s="6"/>
      <c r="R25" s="8"/>
      <c r="S25" s="6"/>
      <c r="T25" s="8"/>
    </row>
    <row r="26" spans="2:20" s="20" customFormat="1" ht="11.5" x14ac:dyDescent="0.25">
      <c r="B26" s="20" t="s">
        <v>209</v>
      </c>
      <c r="C26" s="100" t="s">
        <v>205</v>
      </c>
      <c r="D26" s="100" t="s">
        <v>205</v>
      </c>
      <c r="E26" s="79" t="s">
        <v>205</v>
      </c>
      <c r="F26" s="81">
        <f>F27/F28</f>
        <v>0.46928554798893296</v>
      </c>
      <c r="G26" s="79" t="s">
        <v>205</v>
      </c>
      <c r="H26" s="81">
        <f t="shared" ref="H26:L26" si="0">H27/H28</f>
        <v>0.13668768787782579</v>
      </c>
      <c r="I26" s="82">
        <f t="shared" si="0"/>
        <v>0.37646839489874495</v>
      </c>
      <c r="J26" s="83">
        <f t="shared" si="0"/>
        <v>0.32965054814435224</v>
      </c>
      <c r="K26" s="82">
        <f t="shared" si="0"/>
        <v>0.29819755731416525</v>
      </c>
      <c r="L26" s="83">
        <f t="shared" si="0"/>
        <v>0.23673671992690096</v>
      </c>
      <c r="M26" s="82">
        <f>M27/M28</f>
        <v>0.20255959714906058</v>
      </c>
      <c r="N26" s="83">
        <f t="shared" ref="N26:T26" si="1">N27/N28</f>
        <v>0.34945228377774418</v>
      </c>
      <c r="O26" s="82">
        <f t="shared" si="1"/>
        <v>0.59033128874291374</v>
      </c>
      <c r="P26" s="83">
        <f t="shared" si="1"/>
        <v>0.47373057044851885</v>
      </c>
      <c r="Q26" s="82">
        <f t="shared" si="1"/>
        <v>0.32751162936431932</v>
      </c>
      <c r="R26" s="83">
        <f t="shared" si="1"/>
        <v>0.32602875159184846</v>
      </c>
      <c r="S26" s="82">
        <f t="shared" si="1"/>
        <v>0.33770943713836082</v>
      </c>
      <c r="T26" s="84">
        <f t="shared" si="1"/>
        <v>0.28026722650074631</v>
      </c>
    </row>
    <row r="27" spans="2:20" s="5" customFormat="1" ht="11.5" x14ac:dyDescent="0.25">
      <c r="B27" s="101" t="s">
        <v>210</v>
      </c>
      <c r="C27" s="102" t="s">
        <v>205</v>
      </c>
      <c r="D27" s="70">
        <f>(PL!D59-PL!D51)</f>
        <v>931496</v>
      </c>
      <c r="E27" s="77" t="s">
        <v>205</v>
      </c>
      <c r="F27" s="70">
        <f>(PL!F59-PL!F51)</f>
        <v>1824206</v>
      </c>
      <c r="G27" s="77" t="s">
        <v>205</v>
      </c>
      <c r="H27" s="70">
        <f>(PL!H59-PL!H51)</f>
        <v>808837</v>
      </c>
      <c r="I27" s="71">
        <f>(PL!I59-PL!I51)+((PL!H59-PL!H51)-(PL!G59-PL!G51))</f>
        <v>2861371</v>
      </c>
      <c r="J27" s="70">
        <f>(PL!J59-PL!J51)</f>
        <v>2996875</v>
      </c>
      <c r="K27" s="71">
        <f>(PL!K59-PL!K51)+((PL!J59-PL!J51)-(PL!I59-PL!I51))</f>
        <v>3064493</v>
      </c>
      <c r="L27" s="70">
        <f>(PL!L59-PL!L51)</f>
        <v>2875854</v>
      </c>
      <c r="M27" s="71">
        <f>(PL!M59-PL!M51)+((PL!L59-PL!L51)-(PL!K59-PL!K51))</f>
        <v>2848911</v>
      </c>
      <c r="N27" s="70">
        <f>(PL!N59-PL!N51)</f>
        <v>5975221</v>
      </c>
      <c r="O27" s="71">
        <f>(PL!O59-PL!O51)+((PL!N59-PL!N51)-(PL!M59-PL!M51))</f>
        <v>11728949</v>
      </c>
      <c r="P27" s="70">
        <f>(PL!P59-PL!P51)</f>
        <v>12003016</v>
      </c>
      <c r="Q27" s="71">
        <f>(PL!Q59-PL!Q51)+((PL!P59-PL!P51)-(PL!O59-PL!O51))</f>
        <v>9928280</v>
      </c>
      <c r="R27" s="70">
        <f>(PL!R59-PL!R51)</f>
        <v>11614856</v>
      </c>
      <c r="S27" s="71">
        <f>(PL!S59-PL!S51)+((PL!R59-PL!R51)-(PL!Q59-PL!Q51))</f>
        <v>12440830</v>
      </c>
      <c r="T27" s="72">
        <f>(PL!T59-PL!T51)</f>
        <v>11099691</v>
      </c>
    </row>
    <row r="28" spans="2:20" s="5" customFormat="1" ht="11.5" x14ac:dyDescent="0.25">
      <c r="B28" s="103" t="s">
        <v>211</v>
      </c>
      <c r="C28" s="104" t="s">
        <v>205</v>
      </c>
      <c r="D28" s="104" t="s">
        <v>205</v>
      </c>
      <c r="E28" s="105">
        <f t="shared" ref="E28:K28" si="2">E29+E33</f>
        <v>5428175</v>
      </c>
      <c r="F28" s="106">
        <f t="shared" si="2"/>
        <v>3887198.333333333</v>
      </c>
      <c r="G28" s="105">
        <f t="shared" si="2"/>
        <v>4535979.666666666</v>
      </c>
      <c r="H28" s="106">
        <f t="shared" si="2"/>
        <v>5917409.333333334</v>
      </c>
      <c r="I28" s="105">
        <f t="shared" si="2"/>
        <v>7600561</v>
      </c>
      <c r="J28" s="106">
        <f t="shared" si="2"/>
        <v>9091066.333333334</v>
      </c>
      <c r="K28" s="105">
        <f t="shared" si="2"/>
        <v>10276720.666666668</v>
      </c>
      <c r="L28" s="106">
        <f>L29+L33</f>
        <v>12147900</v>
      </c>
      <c r="M28" s="105">
        <f>M29+M33</f>
        <v>14064557</v>
      </c>
      <c r="N28" s="106">
        <f t="shared" ref="N28:T28" si="3">N29+N33</f>
        <v>17098818</v>
      </c>
      <c r="O28" s="105">
        <f t="shared" si="3"/>
        <v>19868418.333333332</v>
      </c>
      <c r="P28" s="106">
        <f t="shared" si="3"/>
        <v>25337220.666666664</v>
      </c>
      <c r="Q28" s="105">
        <f t="shared" si="3"/>
        <v>30314282.333333336</v>
      </c>
      <c r="R28" s="106">
        <f t="shared" si="3"/>
        <v>35625250.666666664</v>
      </c>
      <c r="S28" s="105">
        <f t="shared" si="3"/>
        <v>36838858</v>
      </c>
      <c r="T28" s="107">
        <f t="shared" si="3"/>
        <v>39603956.333333336</v>
      </c>
    </row>
    <row r="29" spans="2:20" s="5" customFormat="1" ht="11.5" x14ac:dyDescent="0.25">
      <c r="B29" s="68" t="s">
        <v>212</v>
      </c>
      <c r="C29" s="102" t="s">
        <v>205</v>
      </c>
      <c r="D29" s="102" t="s">
        <v>205</v>
      </c>
      <c r="E29" s="71">
        <f t="shared" ref="E29:J29" si="4">AVERAGE(E11,D11,C11)</f>
        <v>3229425.6666666665</v>
      </c>
      <c r="F29" s="108">
        <f t="shared" si="4"/>
        <v>1718757.6666666667</v>
      </c>
      <c r="G29" s="71">
        <f t="shared" si="4"/>
        <v>1551989</v>
      </c>
      <c r="H29" s="108">
        <f t="shared" si="4"/>
        <v>2385240</v>
      </c>
      <c r="I29" s="71">
        <f t="shared" si="4"/>
        <v>3186379.6666666665</v>
      </c>
      <c r="J29" s="108">
        <f t="shared" si="4"/>
        <v>3644105.3333333335</v>
      </c>
      <c r="K29" s="71">
        <f>AVERAGE(K11,J11,I11)</f>
        <v>3425582</v>
      </c>
      <c r="L29" s="108">
        <f>AVERAGE(L11,K11,J11)</f>
        <v>4408456.333333333</v>
      </c>
      <c r="M29" s="71">
        <f>AVERAGE(M11,L11,K11)</f>
        <v>5264003.666666667</v>
      </c>
      <c r="N29" s="108">
        <f t="shared" ref="N29:Q29" si="5">AVERAGE(N11,M11,L11)</f>
        <v>6902505.333333333</v>
      </c>
      <c r="O29" s="71">
        <f t="shared" si="5"/>
        <v>6500642.666666667</v>
      </c>
      <c r="P29" s="108">
        <f t="shared" si="5"/>
        <v>8760268.666666666</v>
      </c>
      <c r="Q29" s="71">
        <f t="shared" si="5"/>
        <v>9921238.333333334</v>
      </c>
      <c r="R29" s="108">
        <f>AVERAGE(R11,Q11,P11)</f>
        <v>12824038.666666666</v>
      </c>
      <c r="S29" s="71">
        <f t="shared" ref="S29" si="6">AVERAGE(S11,R11,Q11)</f>
        <v>10386666.666666666</v>
      </c>
      <c r="T29" s="108">
        <f>AVERAGE(T11,S11,R11)</f>
        <v>10781768.666666666</v>
      </c>
    </row>
    <row r="30" spans="2:20" s="5" customFormat="1" ht="11.5" x14ac:dyDescent="0.25">
      <c r="B30" s="68" t="s">
        <v>47</v>
      </c>
      <c r="C30" s="69">
        <f>'Balance sheet_'!C45</f>
        <v>3870742</v>
      </c>
      <c r="D30" s="70">
        <f>'Balance sheet_'!D45</f>
        <v>2366726</v>
      </c>
      <c r="E30" s="71">
        <f>'Balance sheet_'!E45</f>
        <v>2424382</v>
      </c>
      <c r="F30" s="108">
        <f>'Balance sheet_'!F45</f>
        <v>3513848</v>
      </c>
      <c r="G30" s="71">
        <f>'Balance sheet_'!G45</f>
        <v>3687430</v>
      </c>
      <c r="H30" s="108">
        <f>'Balance sheet_'!H45</f>
        <v>6002854</v>
      </c>
      <c r="I30" s="71">
        <f>'Balance sheet_'!I45</f>
        <v>6919376</v>
      </c>
      <c r="J30" s="70">
        <f>'Balance sheet_'!J45</f>
        <v>9064661</v>
      </c>
      <c r="K30" s="71">
        <f>'Balance sheet_'!K45</f>
        <v>8569686</v>
      </c>
      <c r="L30" s="70">
        <f>'Balance sheet_'!L45</f>
        <v>11786017</v>
      </c>
      <c r="M30" s="71">
        <f>'Balance sheet_'!M45</f>
        <v>12997672</v>
      </c>
      <c r="N30" s="70">
        <f>'Balance sheet_'!N45</f>
        <v>18707238</v>
      </c>
      <c r="O30" s="71">
        <f>'Balance sheet_'!O45</f>
        <v>25924928</v>
      </c>
      <c r="P30" s="70">
        <f>'Balance sheet_'!P45</f>
        <v>27274467</v>
      </c>
      <c r="Q30" s="71">
        <f>'Balance sheet_'!Q45</f>
        <v>35040167</v>
      </c>
      <c r="R30" s="70">
        <f>'Balance sheet_'!R45</f>
        <v>39701507</v>
      </c>
      <c r="S30" s="71">
        <f>'Balance sheet_'!S45</f>
        <v>36495769</v>
      </c>
      <c r="T30" s="70">
        <f>'Balance sheet_'!T45</f>
        <v>42766106</v>
      </c>
    </row>
    <row r="31" spans="2:20" s="5" customFormat="1" ht="11.5" x14ac:dyDescent="0.25">
      <c r="B31" s="68" t="s">
        <v>213</v>
      </c>
      <c r="C31" s="109">
        <f>'Balance sheet_'!C25</f>
        <v>455075</v>
      </c>
      <c r="D31" s="108">
        <f>'Balance sheet_'!D25</f>
        <v>1529164</v>
      </c>
      <c r="E31" s="71">
        <f>'Balance sheet_'!E25</f>
        <v>81363</v>
      </c>
      <c r="F31" s="108">
        <f>'Balance sheet_'!F25</f>
        <v>189107</v>
      </c>
      <c r="G31" s="71">
        <f>'Balance sheet_'!G25</f>
        <v>403218</v>
      </c>
      <c r="H31" s="108">
        <f>'Balance sheet_'!H25</f>
        <v>2015299</v>
      </c>
      <c r="I31" s="71">
        <f>'Balance sheet_'!I25</f>
        <v>948599</v>
      </c>
      <c r="J31" s="108">
        <f>'Balance sheet_'!J25</f>
        <v>2682110</v>
      </c>
      <c r="K31" s="71">
        <f>'Balance sheet_'!K25</f>
        <v>369598</v>
      </c>
      <c r="L31" s="108">
        <f>'Balance sheet_'!L25</f>
        <v>3150325</v>
      </c>
      <c r="M31" s="71">
        <f>'Balance sheet_'!M25</f>
        <v>3431792</v>
      </c>
      <c r="N31" s="108">
        <f>'Balance sheet_'!N25</f>
        <v>6319872</v>
      </c>
      <c r="O31" s="71">
        <f>'Balance sheet_'!O25</f>
        <v>7774847</v>
      </c>
      <c r="P31" s="108">
        <f>'Balance sheet_'!P25</f>
        <v>8081058</v>
      </c>
      <c r="Q31" s="71">
        <f>'Balance sheet_'!Q25</f>
        <v>11204525</v>
      </c>
      <c r="R31" s="108">
        <f>'Balance sheet_'!R25</f>
        <v>14326922</v>
      </c>
      <c r="S31" s="71">
        <f>'Balance sheet_'!S25</f>
        <v>6349422</v>
      </c>
      <c r="T31" s="108">
        <f>'Balance sheet_'!T25</f>
        <v>11820475</v>
      </c>
    </row>
    <row r="32" spans="2:20" s="5" customFormat="1" ht="11.5" x14ac:dyDescent="0.25">
      <c r="B32" s="68" t="s">
        <v>214</v>
      </c>
      <c r="C32" s="69">
        <f t="shared" ref="C32:K32" si="7">C30-C31</f>
        <v>3415667</v>
      </c>
      <c r="D32" s="70">
        <f t="shared" si="7"/>
        <v>837562</v>
      </c>
      <c r="E32" s="71">
        <f t="shared" si="7"/>
        <v>2343019</v>
      </c>
      <c r="F32" s="108">
        <f t="shared" si="7"/>
        <v>3324741</v>
      </c>
      <c r="G32" s="71">
        <f t="shared" si="7"/>
        <v>3284212</v>
      </c>
      <c r="H32" s="108">
        <f t="shared" si="7"/>
        <v>3987555</v>
      </c>
      <c r="I32" s="71">
        <f t="shared" si="7"/>
        <v>5970777</v>
      </c>
      <c r="J32" s="70">
        <f t="shared" si="7"/>
        <v>6382551</v>
      </c>
      <c r="K32" s="71">
        <f t="shared" si="7"/>
        <v>8200088</v>
      </c>
      <c r="L32" s="70">
        <f>L30-L31</f>
        <v>8635692</v>
      </c>
      <c r="M32" s="71">
        <f>M30-M31</f>
        <v>9565880</v>
      </c>
      <c r="N32" s="70">
        <f t="shared" ref="N32:T32" si="8">N30-N31</f>
        <v>12387366</v>
      </c>
      <c r="O32" s="71">
        <f t="shared" si="8"/>
        <v>18150081</v>
      </c>
      <c r="P32" s="70">
        <f t="shared" si="8"/>
        <v>19193409</v>
      </c>
      <c r="Q32" s="71">
        <f t="shared" si="8"/>
        <v>23835642</v>
      </c>
      <c r="R32" s="70">
        <f t="shared" si="8"/>
        <v>25374585</v>
      </c>
      <c r="S32" s="71">
        <f t="shared" si="8"/>
        <v>30146347</v>
      </c>
      <c r="T32" s="70">
        <f t="shared" si="8"/>
        <v>30945631</v>
      </c>
    </row>
    <row r="33" spans="2:20" s="5" customFormat="1" ht="11.5" x14ac:dyDescent="0.25">
      <c r="B33" s="110" t="s">
        <v>215</v>
      </c>
      <c r="C33" s="104" t="s">
        <v>205</v>
      </c>
      <c r="D33" s="104" t="s">
        <v>205</v>
      </c>
      <c r="E33" s="105">
        <f>AVERAGE(C32:E32)</f>
        <v>2198749.3333333335</v>
      </c>
      <c r="F33" s="106">
        <f t="shared" ref="F33:K33" si="9">AVERAGE(D32:F32)</f>
        <v>2168440.6666666665</v>
      </c>
      <c r="G33" s="105">
        <f t="shared" si="9"/>
        <v>2983990.6666666665</v>
      </c>
      <c r="H33" s="106">
        <f t="shared" si="9"/>
        <v>3532169.3333333335</v>
      </c>
      <c r="I33" s="105">
        <f t="shared" si="9"/>
        <v>4414181.333333333</v>
      </c>
      <c r="J33" s="106">
        <f t="shared" si="9"/>
        <v>5446961</v>
      </c>
      <c r="K33" s="105">
        <f t="shared" si="9"/>
        <v>6851138.666666667</v>
      </c>
      <c r="L33" s="106">
        <f>AVERAGE(L32,K32,J32)</f>
        <v>7739443.666666667</v>
      </c>
      <c r="M33" s="105">
        <f>AVERAGE(K32,L32:M32)</f>
        <v>8800553.333333334</v>
      </c>
      <c r="N33" s="106">
        <f t="shared" ref="N33:T33" si="10">AVERAGE(L32,M32:N32)</f>
        <v>10196312.666666666</v>
      </c>
      <c r="O33" s="105">
        <f t="shared" si="10"/>
        <v>13367775.666666666</v>
      </c>
      <c r="P33" s="106">
        <f t="shared" si="10"/>
        <v>16576952</v>
      </c>
      <c r="Q33" s="105">
        <f t="shared" si="10"/>
        <v>20393044</v>
      </c>
      <c r="R33" s="106">
        <f t="shared" si="10"/>
        <v>22801212</v>
      </c>
      <c r="S33" s="105">
        <f t="shared" si="10"/>
        <v>26452191.333333332</v>
      </c>
      <c r="T33" s="106">
        <f t="shared" si="10"/>
        <v>28822187.666666668</v>
      </c>
    </row>
    <row r="34" spans="2:20" s="5" customFormat="1" ht="11.5" x14ac:dyDescent="0.25">
      <c r="C34" s="89"/>
      <c r="D34" s="93"/>
      <c r="E34" s="89"/>
      <c r="G34" s="89"/>
      <c r="I34" s="89"/>
      <c r="K34" s="89"/>
      <c r="M34" s="89"/>
      <c r="O34" s="89"/>
      <c r="Q34" s="89"/>
      <c r="S34" s="89"/>
    </row>
    <row r="35" spans="2:20" s="20" customFormat="1" ht="11.5" x14ac:dyDescent="0.25">
      <c r="B35" s="20" t="s">
        <v>216</v>
      </c>
      <c r="C35" s="100" t="s">
        <v>205</v>
      </c>
      <c r="D35" s="100" t="s">
        <v>205</v>
      </c>
      <c r="E35" s="82">
        <f t="shared" ref="E35:K35" si="11">E37/E36</f>
        <v>0.7892169686614291</v>
      </c>
      <c r="F35" s="83">
        <f t="shared" si="11"/>
        <v>0.13591354367199537</v>
      </c>
      <c r="G35" s="82">
        <f t="shared" si="11"/>
        <v>0.14722242422857237</v>
      </c>
      <c r="H35" s="83">
        <f t="shared" si="11"/>
        <v>0.52050524790270203</v>
      </c>
      <c r="I35" s="82">
        <f t="shared" si="11"/>
        <v>0.56801240964595301</v>
      </c>
      <c r="J35" s="83">
        <f t="shared" si="11"/>
        <v>0.44453474572644214</v>
      </c>
      <c r="K35" s="82">
        <f t="shared" si="11"/>
        <v>0.22584338839368678</v>
      </c>
      <c r="L35" s="83">
        <f>L37/L36</f>
        <v>0.32347492369570957</v>
      </c>
      <c r="M35" s="82">
        <f>M37/M36</f>
        <v>0.49788718532982046</v>
      </c>
      <c r="N35" s="83">
        <f t="shared" ref="N35:T35" si="12">N37/N36</f>
        <v>0.58616874273569752</v>
      </c>
      <c r="O35" s="82">
        <f t="shared" si="12"/>
        <v>0.77136713450417815</v>
      </c>
      <c r="P35" s="83">
        <f t="shared" si="12"/>
        <v>0.50963971571301359</v>
      </c>
      <c r="Q35" s="82">
        <f t="shared" si="12"/>
        <v>0.42744058498386472</v>
      </c>
      <c r="R35" s="83">
        <f t="shared" si="12"/>
        <v>0.45496312196321947</v>
      </c>
      <c r="S35" s="82">
        <f t="shared" si="12"/>
        <v>0.14608946917271373</v>
      </c>
      <c r="T35" s="83">
        <f t="shared" si="12"/>
        <v>0.19573530618018242</v>
      </c>
    </row>
    <row r="36" spans="2:20" s="5" customFormat="1" ht="11.5" x14ac:dyDescent="0.25">
      <c r="B36" s="101" t="s">
        <v>217</v>
      </c>
      <c r="C36" s="102" t="s">
        <v>205</v>
      </c>
      <c r="D36" s="102" t="s">
        <v>205</v>
      </c>
      <c r="E36" s="71">
        <f t="shared" ref="E36:K36" si="13">AVERAGE(C30:E30)</f>
        <v>2887283.3333333335</v>
      </c>
      <c r="F36" s="108">
        <f t="shared" si="13"/>
        <v>2768318.6666666665</v>
      </c>
      <c r="G36" s="71">
        <f t="shared" si="13"/>
        <v>3208553.3333333335</v>
      </c>
      <c r="H36" s="108">
        <f t="shared" si="13"/>
        <v>4401377.333333333</v>
      </c>
      <c r="I36" s="71">
        <f t="shared" si="13"/>
        <v>5536553.333333333</v>
      </c>
      <c r="J36" s="108">
        <f t="shared" si="13"/>
        <v>7328963.666666667</v>
      </c>
      <c r="K36" s="71">
        <f t="shared" si="13"/>
        <v>8184574.333333333</v>
      </c>
      <c r="L36" s="108">
        <f>AVERAGE(L30,K30,J30)</f>
        <v>9806788</v>
      </c>
      <c r="M36" s="71">
        <f>AVERAGE(K30,L30:M30)</f>
        <v>11117791.666666666</v>
      </c>
      <c r="N36" s="108">
        <f t="shared" ref="N36:T36" si="14">AVERAGE(L30,M30:N30)</f>
        <v>14496975.666666666</v>
      </c>
      <c r="O36" s="71">
        <f t="shared" si="14"/>
        <v>19209946</v>
      </c>
      <c r="P36" s="108">
        <f t="shared" si="14"/>
        <v>23968877.666666668</v>
      </c>
      <c r="Q36" s="71">
        <f t="shared" si="14"/>
        <v>29413187.333333332</v>
      </c>
      <c r="R36" s="108">
        <f t="shared" si="14"/>
        <v>34005380.333333336</v>
      </c>
      <c r="S36" s="71">
        <f t="shared" si="14"/>
        <v>37079147.666666664</v>
      </c>
      <c r="T36" s="108">
        <f t="shared" si="14"/>
        <v>39654460.666666664</v>
      </c>
    </row>
    <row r="37" spans="2:20" s="5" customFormat="1" ht="11.5" x14ac:dyDescent="0.25">
      <c r="B37" s="103" t="s">
        <v>218</v>
      </c>
      <c r="C37" s="104" t="s">
        <v>205</v>
      </c>
      <c r="D37" s="106">
        <f>(PL!D47)</f>
        <v>2133074</v>
      </c>
      <c r="E37" s="105">
        <f>(PL!E47)+((PL!D47)-(PL!C47))</f>
        <v>2278693</v>
      </c>
      <c r="F37" s="106">
        <f>(PL!F47)</f>
        <v>376252</v>
      </c>
      <c r="G37" s="105">
        <f>(PL!G47)+((PL!F47)-(PL!E47))</f>
        <v>472371</v>
      </c>
      <c r="H37" s="106">
        <f>(PL!H47)</f>
        <v>2290940</v>
      </c>
      <c r="I37" s="105">
        <f>(PL!I47)+((PL!H47)-(PL!G47))</f>
        <v>3144831</v>
      </c>
      <c r="J37" s="106">
        <f>(PL!J47)</f>
        <v>3257979</v>
      </c>
      <c r="K37" s="105">
        <f>(PL!K47)+((PL!J47)-(PL!I47))</f>
        <v>1848432</v>
      </c>
      <c r="L37" s="106">
        <f>(PL!L47)</f>
        <v>3172250</v>
      </c>
      <c r="M37" s="105">
        <f>(PL!M47)+((PL!L47)-(PL!K47))</f>
        <v>5535406</v>
      </c>
      <c r="N37" s="106">
        <f>(PL!N47)</f>
        <v>8497674</v>
      </c>
      <c r="O37" s="105">
        <f>(PL!O47)+((PL!N47)-(PL!M47))</f>
        <v>14817921</v>
      </c>
      <c r="P37" s="106">
        <f>(PL!P47)</f>
        <v>12215492</v>
      </c>
      <c r="Q37" s="105">
        <f>(PL!Q47)+((PL!P47)-(PL!O47))</f>
        <v>12572390</v>
      </c>
      <c r="R37" s="106">
        <f>(PL!R47)</f>
        <v>15471194</v>
      </c>
      <c r="S37" s="105">
        <f>(PL!S47)+((PL!R47)-(PL!Q47))</f>
        <v>5416873</v>
      </c>
      <c r="T37" s="106">
        <f>(PL!T47)</f>
        <v>7761778</v>
      </c>
    </row>
    <row r="38" spans="2:20" s="5" customFormat="1" ht="11.5" x14ac:dyDescent="0.25">
      <c r="C38" s="89"/>
      <c r="E38" s="89"/>
      <c r="G38" s="89"/>
      <c r="I38" s="89"/>
      <c r="K38" s="89"/>
      <c r="M38" s="89"/>
      <c r="O38" s="89"/>
      <c r="Q38" s="89"/>
      <c r="S38" s="89"/>
    </row>
    <row r="39" spans="2:20" s="20" customFormat="1" ht="11.5" x14ac:dyDescent="0.25">
      <c r="B39" s="20" t="s">
        <v>219</v>
      </c>
      <c r="C39" s="79" t="s">
        <v>205</v>
      </c>
      <c r="D39" s="100">
        <f>D27/D40</f>
        <v>0.17843745965265559</v>
      </c>
      <c r="E39" s="79" t="s">
        <v>205</v>
      </c>
      <c r="F39" s="81">
        <f>F27/F41</f>
        <v>0.43090194394986164</v>
      </c>
      <c r="G39" s="79" t="s">
        <v>205</v>
      </c>
      <c r="H39" s="81">
        <f t="shared" ref="H39:S39" si="15">H27/H41</f>
        <v>0.12267632676639206</v>
      </c>
      <c r="I39" s="82">
        <f t="shared" si="15"/>
        <v>0.33618386132707934</v>
      </c>
      <c r="J39" s="81">
        <f t="shared" si="15"/>
        <v>0.27911838251741383</v>
      </c>
      <c r="K39" s="82">
        <f t="shared" si="15"/>
        <v>0.27079406243449938</v>
      </c>
      <c r="L39" s="81">
        <f t="shared" si="15"/>
        <v>0.20670574245629489</v>
      </c>
      <c r="M39" s="82">
        <f t="shared" si="15"/>
        <v>0.17664726655185647</v>
      </c>
      <c r="N39" s="81">
        <f t="shared" si="15"/>
        <v>0.28600416776822729</v>
      </c>
      <c r="O39" s="82">
        <f t="shared" si="15"/>
        <v>0.47644277640378419</v>
      </c>
      <c r="P39" s="81">
        <f t="shared" si="15"/>
        <v>0.40466374200510913</v>
      </c>
      <c r="Q39" s="82">
        <f t="shared" si="15"/>
        <v>0.28325927817254759</v>
      </c>
      <c r="R39" s="81">
        <f t="shared" si="15"/>
        <v>0.2793712523890266</v>
      </c>
      <c r="S39" s="82">
        <f t="shared" si="15"/>
        <v>0.28927071401890075</v>
      </c>
      <c r="T39" s="81">
        <f>T27/T41</f>
        <v>0.24355491503624543</v>
      </c>
    </row>
    <row r="40" spans="2:20" s="5" customFormat="1" ht="11.5" x14ac:dyDescent="0.25">
      <c r="B40" s="5" t="s">
        <v>220</v>
      </c>
      <c r="C40" s="21">
        <f>SUM('Balance sheet_'!C6,'Balance sheet_'!C10,'Balance sheet_'!C17,'Balance sheet_'!C22,'Balance sheet_'!C23)</f>
        <v>3377108</v>
      </c>
      <c r="D40" s="111">
        <f>SUM('Balance sheet_'!D6,'Balance sheet_'!D10,'Balance sheet_'!D17,'Balance sheet_'!D22,'Balance sheet_'!D23)</f>
        <v>5220294</v>
      </c>
      <c r="E40" s="21">
        <f>SUM('Balance sheet_'!E6,'Balance sheet_'!E10,'Balance sheet_'!E17,'Balance sheet_'!E22,'Balance sheet_'!E23)</f>
        <v>3381463</v>
      </c>
      <c r="F40" s="111">
        <f>SUM('Balance sheet_'!F6,'Balance sheet_'!F10,'Balance sheet_'!F17,'Balance sheet_'!F22,'Balance sheet_'!F23)</f>
        <v>4098622</v>
      </c>
      <c r="G40" s="21">
        <f>SUM('Balance sheet_'!G6,'Balance sheet_'!G10,'Balance sheet_'!G17,'Balance sheet_'!G22,'Balance sheet_'!G23)</f>
        <v>6068380</v>
      </c>
      <c r="H40" s="111">
        <f>SUM('Balance sheet_'!H6,'Balance sheet_'!H10,'Balance sheet_'!H17,'Balance sheet_'!H22,'Balance sheet_'!H23)</f>
        <v>9612780</v>
      </c>
      <c r="I40" s="21">
        <f>SUM('Balance sheet_'!I6,'Balance sheet_'!I10,'Balance sheet_'!I17,'Balance sheet_'!I22,'Balance sheet_'!I23)</f>
        <v>9852823</v>
      </c>
      <c r="J40" s="111">
        <f>SUM('Balance sheet_'!J6,'Balance sheet_'!J10,'Balance sheet_'!J17,'Balance sheet_'!J22,'Balance sheet_'!J23)</f>
        <v>12745192</v>
      </c>
      <c r="K40" s="21">
        <f>SUM('Balance sheet_'!K6,'Balance sheet_'!K10,'Balance sheet_'!K17,'Balance sheet_'!K22,'Balance sheet_'!K23)</f>
        <v>11352061</v>
      </c>
      <c r="L40" s="111">
        <f>SUM('Balance sheet_'!L6,'Balance sheet_'!L10,'Balance sheet_'!L17,'Balance sheet_'!L22,'Balance sheet_'!L23)</f>
        <v>17641123</v>
      </c>
      <c r="M40" s="21">
        <f>SUM('Balance sheet_'!M6,'Balance sheet_'!M10,'Balance sheet_'!M17,'Balance sheet_'!M22,'Balance sheet_'!M23)</f>
        <v>19389863</v>
      </c>
      <c r="N40" s="111">
        <f>SUM('Balance sheet_'!N6,'Balance sheet_'!N10,'Balance sheet_'!N17,'Balance sheet_'!N22,'Balance sheet_'!N23)</f>
        <v>25645244</v>
      </c>
      <c r="O40" s="21">
        <f>SUM('Balance sheet_'!O6,'Balance sheet_'!O10,'Balance sheet_'!O17,'Balance sheet_'!O22,'Balance sheet_'!O23)</f>
        <v>28818142</v>
      </c>
      <c r="P40" s="111">
        <f>SUM('Balance sheet_'!P6,'Balance sheet_'!P10,'Balance sheet_'!P17,'Balance sheet_'!P22,'Balance sheet_'!P23)</f>
        <v>34521725</v>
      </c>
      <c r="Q40" s="21">
        <f>SUM('Balance sheet_'!Q6,'Balance sheet_'!Q10,'Balance sheet_'!Q17,'Balance sheet_'!Q22,'Balance sheet_'!Q23)</f>
        <v>41810581</v>
      </c>
      <c r="R40" s="111">
        <f>SUM('Balance sheet_'!R6,'Balance sheet_'!R10,'Balance sheet_'!R17,'Balance sheet_'!R22,'Balance sheet_'!R23)</f>
        <v>48392653</v>
      </c>
      <c r="S40" s="21">
        <f>SUM('Balance sheet_'!S6,'Balance sheet_'!S10,'Balance sheet_'!S17,'Balance sheet_'!S22,'Balance sheet_'!S23)</f>
        <v>38819471</v>
      </c>
      <c r="T40" s="111">
        <f>SUM('Balance sheet_'!T6,'Balance sheet_'!T10,'Balance sheet_'!T17,'Balance sheet_'!T22,'Balance sheet_'!T23)</f>
        <v>49508882</v>
      </c>
    </row>
    <row r="41" spans="2:20" s="5" customFormat="1" ht="11.5" x14ac:dyDescent="0.25">
      <c r="B41" s="96" t="s">
        <v>221</v>
      </c>
      <c r="C41" s="104" t="s">
        <v>205</v>
      </c>
      <c r="D41" s="104" t="s">
        <v>205</v>
      </c>
      <c r="E41" s="105">
        <f>AVERAGE(C40:E40)</f>
        <v>3992955</v>
      </c>
      <c r="F41" s="106">
        <f t="shared" ref="F41:K41" si="16">AVERAGE(D40:F40)</f>
        <v>4233459.666666667</v>
      </c>
      <c r="G41" s="105">
        <f t="shared" si="16"/>
        <v>4516155</v>
      </c>
      <c r="H41" s="106">
        <f t="shared" si="16"/>
        <v>6593260.666666667</v>
      </c>
      <c r="I41" s="105">
        <f t="shared" si="16"/>
        <v>8511327.666666666</v>
      </c>
      <c r="J41" s="106">
        <f t="shared" si="16"/>
        <v>10736931.666666666</v>
      </c>
      <c r="K41" s="105">
        <f t="shared" si="16"/>
        <v>11316692</v>
      </c>
      <c r="L41" s="106">
        <f>AVERAGE(L40,K40,J40)</f>
        <v>13912792</v>
      </c>
      <c r="M41" s="105">
        <f>AVERAGE(K40,L40:M40)</f>
        <v>16127682.333333334</v>
      </c>
      <c r="N41" s="106">
        <f t="shared" ref="N41:P41" si="17">AVERAGE(L40,M40:N40)</f>
        <v>20892076.666666668</v>
      </c>
      <c r="O41" s="105">
        <f t="shared" si="17"/>
        <v>24617749.666666668</v>
      </c>
      <c r="P41" s="106">
        <f t="shared" si="17"/>
        <v>29661703.666666668</v>
      </c>
      <c r="Q41" s="105">
        <f>AVERAGE(O40,P40:Q40)</f>
        <v>35050149.333333336</v>
      </c>
      <c r="R41" s="106">
        <f>AVERAGE(P40,Q40:R40)</f>
        <v>41574986.333333336</v>
      </c>
      <c r="S41" s="105">
        <f>AVERAGE(Q40,R40:S40)</f>
        <v>43007568.333333336</v>
      </c>
      <c r="T41" s="106">
        <f>AVERAGE(R40,S40:T40)</f>
        <v>45573668.666666664</v>
      </c>
    </row>
    <row r="42" spans="2:20" s="5" customFormat="1" ht="11.5" x14ac:dyDescent="0.25">
      <c r="C42" s="89"/>
      <c r="E42" s="89"/>
      <c r="G42" s="89"/>
    </row>
    <row r="43" spans="2:20" s="5" customFormat="1" x14ac:dyDescent="0.35">
      <c r="B43" t="s">
        <v>222</v>
      </c>
      <c r="C43" s="32"/>
      <c r="E43" s="32"/>
      <c r="G43" s="32"/>
      <c r="I43" s="32"/>
      <c r="K43" s="32"/>
      <c r="M43" s="32"/>
      <c r="O43" s="32"/>
      <c r="Q43" s="32"/>
      <c r="S43" s="32"/>
    </row>
    <row r="44" spans="2:20" x14ac:dyDescent="0.35">
      <c r="G44" s="112"/>
    </row>
    <row r="45" spans="2:20" x14ac:dyDescent="0.35"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</row>
  </sheetData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Balance sheet_</vt:lpstr>
      <vt:lpstr>PL</vt:lpstr>
      <vt:lpstr>CF</vt:lpstr>
      <vt:lpstr>Op. metric&amp;Add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RA17 Баранов Андрей</dc:creator>
  <cp:lastModifiedBy>RA17 Баранов Андрей</cp:lastModifiedBy>
  <dcterms:created xsi:type="dcterms:W3CDTF">2025-03-27T19:27:41Z</dcterms:created>
  <dcterms:modified xsi:type="dcterms:W3CDTF">2025-03-27T19:29:08Z</dcterms:modified>
</cp:coreProperties>
</file>