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RA17\Desktop\IR\Рыскрытия и звонки с аналитиками\МСФО_12м2025\финал\"/>
    </mc:Choice>
  </mc:AlternateContent>
  <xr:revisionPtr revIDLastSave="0" documentId="13_ncr:1_{59F9F217-F633-4C97-8A9D-626A4F9AFBC8}" xr6:coauthVersionLast="47" xr6:coauthVersionMax="47" xr10:uidLastSave="{00000000-0000-0000-0000-000000000000}"/>
  <bookViews>
    <workbookView xWindow="-120" yWindow="-120" windowWidth="29040" windowHeight="15720" tabRatio="622" firstSheet="1" activeTab="4" xr2:uid="{00000000-000D-0000-FFFF-FFFF00000000}"/>
  </bookViews>
  <sheets>
    <sheet name="__FDSCACHE__" sheetId="2" state="veryHidden" r:id="rId1"/>
    <sheet name="Balance sheet_" sheetId="5" r:id="rId2"/>
    <sheet name="PL" sheetId="11" r:id="rId3"/>
    <sheet name="CF" sheetId="12" r:id="rId4"/>
    <sheet name="Op. metric&amp;Add info" sheetId="10" r:id="rId5"/>
    <sheet name="Лист1" sheetId="22" state="hidden" r:id="rId6"/>
    <sheet name="Benchmarking 2021 9M" sheetId="13" state="hidden" r:id="rId7"/>
    <sheet name="Benchmarking 2020" sheetId="14" state="hidden" r:id="rId8"/>
    <sheet name="Benchmarking 2019" sheetId="15" state="hidden" r:id="rId9"/>
    <sheet name="6М 2016" sheetId="16" state="hidden" r:id="rId10"/>
    <sheet name="2016" sheetId="17" state="hidden" r:id="rId11"/>
    <sheet name="6М 2017" sheetId="18" state="hidden" r:id="rId12"/>
    <sheet name="2017" sheetId="19" state="hidden" r:id="rId13"/>
    <sheet name="6М 2018" sheetId="20" state="hidden" r:id="rId14"/>
    <sheet name="2018" sheetId="21" state="hidden" r:id="rId15"/>
  </sheets>
  <definedNames>
    <definedName name="_xlnm._FilterDatabase" localSheetId="8" hidden="1">'Benchmarking 2019'!$E$3:$F$18</definedName>
    <definedName name="_xlnm._FilterDatabase" localSheetId="7" hidden="1">'Benchmarking 2020'!$E$3:$F$19</definedName>
    <definedName name="_xlnm._FilterDatabase" localSheetId="6" hidden="1">'Benchmarking 2021 9M'!$H$3:$I$19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3" i="11" l="1"/>
  <c r="C46" i="5"/>
  <c r="V62" i="5"/>
  <c r="V39" i="11"/>
  <c r="V31" i="12" l="1"/>
  <c r="V85" i="12"/>
  <c r="T85" i="12"/>
  <c r="V80" i="12"/>
  <c r="V64" i="12"/>
  <c r="V43" i="12"/>
  <c r="V45" i="12" l="1"/>
  <c r="V52" i="12" s="1"/>
  <c r="V67" i="12" s="1"/>
  <c r="V82" i="12" s="1"/>
  <c r="V86" i="12" l="1"/>
  <c r="V87" i="12" s="1"/>
  <c r="V31" i="10"/>
  <c r="V7" i="10"/>
  <c r="V60" i="11" l="1"/>
  <c r="V56" i="11"/>
  <c r="T50" i="11"/>
  <c r="V50" i="11"/>
  <c r="V51" i="11"/>
  <c r="V41" i="11"/>
  <c r="V37" i="11"/>
  <c r="V21" i="11"/>
  <c r="V15" i="10" s="1"/>
  <c r="D34" i="5"/>
  <c r="F34" i="5"/>
  <c r="H34" i="5"/>
  <c r="J34" i="5"/>
  <c r="L34" i="5"/>
  <c r="N34" i="5"/>
  <c r="P34" i="5"/>
  <c r="R34" i="5"/>
  <c r="T34" i="5"/>
  <c r="V24" i="5"/>
  <c r="V34" i="5"/>
  <c r="V53" i="5" l="1"/>
  <c r="V46" i="5"/>
  <c r="V30" i="10" s="1"/>
  <c r="V12" i="10"/>
  <c r="V11" i="10"/>
  <c r="V29" i="10" s="1"/>
  <c r="V23" i="10"/>
  <c r="V22" i="10"/>
  <c r="V40" i="10"/>
  <c r="V41" i="10" s="1"/>
  <c r="V66" i="5"/>
  <c r="V21" i="10"/>
  <c r="V26" i="11"/>
  <c r="V46" i="11" s="1"/>
  <c r="V20" i="5"/>
  <c r="V36" i="5" s="1"/>
  <c r="V68" i="5" l="1"/>
  <c r="V70" i="5" s="1"/>
  <c r="V72" i="5" s="1"/>
  <c r="V36" i="10"/>
  <c r="V32" i="10"/>
  <c r="V33" i="10" s="1"/>
  <c r="V28" i="10" s="1"/>
  <c r="V48" i="11"/>
  <c r="V18" i="10" s="1"/>
  <c r="V61" i="11"/>
  <c r="V17" i="10" s="1"/>
  <c r="V37" i="10"/>
  <c r="V35" i="10" l="1"/>
  <c r="V16" i="10"/>
  <c r="V27" i="10"/>
  <c r="V39" i="10" s="1"/>
  <c r="U67" i="12"/>
  <c r="U18" i="11"/>
  <c r="U24" i="5"/>
  <c r="V26" i="10" l="1"/>
  <c r="U40" i="10"/>
  <c r="U31" i="10"/>
  <c r="U12" i="10"/>
  <c r="U11" i="10"/>
  <c r="U7" i="10"/>
  <c r="S31" i="12"/>
  <c r="U31" i="12"/>
  <c r="U85" i="12"/>
  <c r="U80" i="12"/>
  <c r="U64" i="12"/>
  <c r="U43" i="12"/>
  <c r="U53" i="11"/>
  <c r="U52" i="11"/>
  <c r="U50" i="11"/>
  <c r="U41" i="11"/>
  <c r="U37" i="11"/>
  <c r="U21" i="11"/>
  <c r="U26" i="11" s="1"/>
  <c r="U46" i="11" s="1"/>
  <c r="U62" i="5"/>
  <c r="U66" i="5" s="1"/>
  <c r="U20" i="5"/>
  <c r="U53" i="5"/>
  <c r="U46" i="5"/>
  <c r="U30" i="10" s="1"/>
  <c r="U34" i="5"/>
  <c r="T7" i="10"/>
  <c r="T52" i="11"/>
  <c r="S52" i="11"/>
  <c r="R52" i="11"/>
  <c r="Q52" i="11"/>
  <c r="P52" i="11"/>
  <c r="O52" i="11"/>
  <c r="N52" i="11"/>
  <c r="M52" i="11"/>
  <c r="T64" i="12"/>
  <c r="T31" i="12"/>
  <c r="T53" i="11"/>
  <c r="T51" i="11"/>
  <c r="U32" i="10" l="1"/>
  <c r="U61" i="11"/>
  <c r="U16" i="10" s="1"/>
  <c r="U15" i="10"/>
  <c r="U45" i="12"/>
  <c r="U52" i="12" s="1"/>
  <c r="U82" i="12" s="1"/>
  <c r="U48" i="11"/>
  <c r="U68" i="5"/>
  <c r="U70" i="5" s="1"/>
  <c r="U36" i="5"/>
  <c r="T37" i="11"/>
  <c r="U17" i="10" l="1"/>
  <c r="U18" i="10"/>
  <c r="U86" i="12"/>
  <c r="U87" i="12" s="1"/>
  <c r="U72" i="5"/>
  <c r="T21" i="11"/>
  <c r="T26" i="11" s="1"/>
  <c r="T46" i="11" s="1"/>
  <c r="T62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T53" i="5"/>
  <c r="S46" i="5"/>
  <c r="R46" i="5"/>
  <c r="Q46" i="5"/>
  <c r="P46" i="5"/>
  <c r="O46" i="5"/>
  <c r="N46" i="5"/>
  <c r="M46" i="5"/>
  <c r="L46" i="5"/>
  <c r="K46" i="5"/>
  <c r="I46" i="5"/>
  <c r="G46" i="5"/>
  <c r="T46" i="5"/>
  <c r="T30" i="10" s="1"/>
  <c r="S20" i="5"/>
  <c r="R20" i="5"/>
  <c r="Q20" i="5"/>
  <c r="P20" i="5"/>
  <c r="O20" i="5"/>
  <c r="N20" i="5"/>
  <c r="M20" i="5"/>
  <c r="L20" i="5"/>
  <c r="K20" i="5"/>
  <c r="J20" i="5"/>
  <c r="I20" i="5"/>
  <c r="G20" i="5"/>
  <c r="F20" i="5"/>
  <c r="E20" i="5"/>
  <c r="C20" i="5"/>
  <c r="T20" i="5"/>
  <c r="T40" i="10"/>
  <c r="T31" i="10"/>
  <c r="T23" i="10"/>
  <c r="T22" i="10"/>
  <c r="T21" i="10"/>
  <c r="T12" i="10"/>
  <c r="T11" i="10"/>
  <c r="T80" i="12"/>
  <c r="T43" i="12"/>
  <c r="T60" i="11"/>
  <c r="T56" i="11"/>
  <c r="T41" i="11"/>
  <c r="T66" i="5"/>
  <c r="T24" i="5"/>
  <c r="S7" i="10"/>
  <c r="T61" i="11" l="1"/>
  <c r="T45" i="12"/>
  <c r="T52" i="12" s="1"/>
  <c r="T15" i="10"/>
  <c r="T68" i="5"/>
  <c r="T70" i="5" s="1"/>
  <c r="T36" i="5"/>
  <c r="T32" i="10"/>
  <c r="T48" i="11"/>
  <c r="S28" i="12"/>
  <c r="S50" i="11"/>
  <c r="S18" i="11"/>
  <c r="Q18" i="11"/>
  <c r="S53" i="11"/>
  <c r="S51" i="11"/>
  <c r="S41" i="11"/>
  <c r="S66" i="5"/>
  <c r="S62" i="5"/>
  <c r="S30" i="10"/>
  <c r="U36" i="10" s="1"/>
  <c r="S34" i="5"/>
  <c r="S24" i="5"/>
  <c r="S40" i="10"/>
  <c r="U41" i="10" s="1"/>
  <c r="S31" i="10"/>
  <c r="S12" i="10"/>
  <c r="S11" i="10"/>
  <c r="U29" i="10" s="1"/>
  <c r="S85" i="12"/>
  <c r="S80" i="12"/>
  <c r="S64" i="12"/>
  <c r="S43" i="12"/>
  <c r="S37" i="11"/>
  <c r="S21" i="11"/>
  <c r="S15" i="10" s="1"/>
  <c r="N7" i="10"/>
  <c r="O24" i="5"/>
  <c r="T67" i="12" l="1"/>
  <c r="T82" i="12" s="1"/>
  <c r="T86" i="12" s="1"/>
  <c r="T16" i="10"/>
  <c r="T27" i="10"/>
  <c r="T17" i="10"/>
  <c r="T37" i="10"/>
  <c r="T18" i="10"/>
  <c r="T72" i="5"/>
  <c r="S26" i="11"/>
  <c r="S46" i="11" s="1"/>
  <c r="S45" i="12"/>
  <c r="S52" i="12" s="1"/>
  <c r="S67" i="12" s="1"/>
  <c r="S82" i="12" s="1"/>
  <c r="S68" i="5"/>
  <c r="S70" i="5" s="1"/>
  <c r="S36" i="5"/>
  <c r="S32" i="10"/>
  <c r="U33" i="10" s="1"/>
  <c r="U28" i="10" s="1"/>
  <c r="E16" i="22"/>
  <c r="E15" i="22"/>
  <c r="F15" i="22"/>
  <c r="G15" i="22"/>
  <c r="H15" i="22" s="1"/>
  <c r="I15" i="22" s="1"/>
  <c r="D15" i="22"/>
  <c r="D4" i="22"/>
  <c r="E4" i="22"/>
  <c r="H17" i="22" s="1"/>
  <c r="F4" i="22"/>
  <c r="G4" i="22"/>
  <c r="G17" i="22" s="1"/>
  <c r="H4" i="22"/>
  <c r="I4" i="22"/>
  <c r="F17" i="22" s="1"/>
  <c r="J4" i="22"/>
  <c r="K4" i="22"/>
  <c r="E17" i="22" s="1"/>
  <c r="L4" i="22"/>
  <c r="M4" i="22"/>
  <c r="D17" i="22" s="1"/>
  <c r="N4" i="22"/>
  <c r="O4" i="22"/>
  <c r="C17" i="22" s="1"/>
  <c r="C4" i="22"/>
  <c r="I17" i="22" s="1"/>
  <c r="F3" i="22"/>
  <c r="G3" i="22"/>
  <c r="G16" i="22" s="1"/>
  <c r="H3" i="22"/>
  <c r="I3" i="22"/>
  <c r="F16" i="22" s="1"/>
  <c r="J3" i="22"/>
  <c r="K3" i="22"/>
  <c r="L3" i="22"/>
  <c r="M3" i="22"/>
  <c r="D16" i="22" s="1"/>
  <c r="N3" i="22"/>
  <c r="E2" i="22"/>
  <c r="G2" i="22" s="1"/>
  <c r="I2" i="22" s="1"/>
  <c r="K2" i="22" s="1"/>
  <c r="M2" i="22" s="1"/>
  <c r="O2" i="22" s="1"/>
  <c r="O3" i="22"/>
  <c r="C16" i="22" s="1"/>
  <c r="S61" i="11" l="1"/>
  <c r="U27" i="10" s="1"/>
  <c r="T87" i="12"/>
  <c r="S48" i="11"/>
  <c r="S86" i="12"/>
  <c r="S87" i="12" s="1"/>
  <c r="S72" i="5"/>
  <c r="Q40" i="10"/>
  <c r="R40" i="10"/>
  <c r="T41" i="10" s="1"/>
  <c r="T39" i="10" s="1"/>
  <c r="R31" i="10"/>
  <c r="R23" i="10"/>
  <c r="R22" i="10"/>
  <c r="R21" i="10"/>
  <c r="R12" i="10"/>
  <c r="R11" i="10"/>
  <c r="T29" i="10" s="1"/>
  <c r="R60" i="11"/>
  <c r="R56" i="11"/>
  <c r="R51" i="11"/>
  <c r="P51" i="11"/>
  <c r="R50" i="11"/>
  <c r="R53" i="11"/>
  <c r="R24" i="5"/>
  <c r="P24" i="5"/>
  <c r="R8" i="5"/>
  <c r="R37" i="11"/>
  <c r="R41" i="11"/>
  <c r="Q41" i="11"/>
  <c r="R21" i="11"/>
  <c r="Q21" i="11"/>
  <c r="Q15" i="10" s="1"/>
  <c r="P21" i="11"/>
  <c r="P15" i="10" s="1"/>
  <c r="O21" i="11"/>
  <c r="O15" i="10" s="1"/>
  <c r="N21" i="11"/>
  <c r="M21" i="11"/>
  <c r="L21" i="11"/>
  <c r="L26" i="11" s="1"/>
  <c r="R30" i="10"/>
  <c r="R7" i="10"/>
  <c r="Q7" i="10"/>
  <c r="P7" i="10"/>
  <c r="O7" i="10"/>
  <c r="L7" i="10"/>
  <c r="R85" i="12"/>
  <c r="P85" i="12"/>
  <c r="R80" i="12"/>
  <c r="R64" i="12"/>
  <c r="R43" i="12"/>
  <c r="R31" i="12"/>
  <c r="P46" i="11"/>
  <c r="R62" i="5"/>
  <c r="R66" i="5" s="1"/>
  <c r="M7" i="10"/>
  <c r="N53" i="11"/>
  <c r="O41" i="11"/>
  <c r="P41" i="11"/>
  <c r="N41" i="11"/>
  <c r="Q37" i="11"/>
  <c r="O37" i="11"/>
  <c r="P37" i="11"/>
  <c r="N37" i="11"/>
  <c r="M37" i="11"/>
  <c r="O18" i="11"/>
  <c r="P18" i="11"/>
  <c r="N18" i="11"/>
  <c r="C21" i="11"/>
  <c r="O64" i="12"/>
  <c r="N64" i="12"/>
  <c r="M64" i="12"/>
  <c r="L64" i="12"/>
  <c r="K64" i="12"/>
  <c r="J64" i="12"/>
  <c r="I64" i="12"/>
  <c r="H64" i="12"/>
  <c r="G64" i="12"/>
  <c r="F64" i="12"/>
  <c r="E64" i="12"/>
  <c r="L66" i="5"/>
  <c r="J66" i="5"/>
  <c r="H66" i="5"/>
  <c r="G66" i="5"/>
  <c r="F66" i="5"/>
  <c r="E66" i="5"/>
  <c r="D66" i="5"/>
  <c r="Q24" i="5"/>
  <c r="N25" i="5"/>
  <c r="N31" i="10" s="1"/>
  <c r="N8" i="5"/>
  <c r="P8" i="5"/>
  <c r="P40" i="10"/>
  <c r="R41" i="10" s="1"/>
  <c r="O40" i="10"/>
  <c r="N40" i="10"/>
  <c r="P30" i="10"/>
  <c r="Q31" i="10"/>
  <c r="P31" i="10"/>
  <c r="O31" i="10"/>
  <c r="P23" i="10"/>
  <c r="P22" i="10"/>
  <c r="P21" i="10"/>
  <c r="N23" i="10"/>
  <c r="N22" i="10"/>
  <c r="N21" i="10"/>
  <c r="N15" i="10"/>
  <c r="Q12" i="10"/>
  <c r="P12" i="10"/>
  <c r="O12" i="10"/>
  <c r="N12" i="10"/>
  <c r="Q11" i="10"/>
  <c r="P11" i="10"/>
  <c r="O11" i="10"/>
  <c r="N11" i="10"/>
  <c r="S17" i="10" l="1"/>
  <c r="S16" i="10"/>
  <c r="U39" i="10"/>
  <c r="U26" i="10"/>
  <c r="S18" i="10"/>
  <c r="U37" i="10"/>
  <c r="U35" i="10" s="1"/>
  <c r="P32" i="10"/>
  <c r="R32" i="10"/>
  <c r="T33" i="10" s="1"/>
  <c r="T28" i="10" s="1"/>
  <c r="T26" i="10" s="1"/>
  <c r="T36" i="10"/>
  <c r="T35" i="10" s="1"/>
  <c r="N24" i="5"/>
  <c r="Q41" i="10"/>
  <c r="R68" i="5"/>
  <c r="R70" i="5" s="1"/>
  <c r="R15" i="10"/>
  <c r="R26" i="11"/>
  <c r="R46" i="11" s="1"/>
  <c r="R61" i="11" s="1"/>
  <c r="R45" i="12"/>
  <c r="R52" i="12" s="1"/>
  <c r="R67" i="12" s="1"/>
  <c r="R82" i="12" s="1"/>
  <c r="R36" i="5"/>
  <c r="P29" i="10"/>
  <c r="R29" i="10"/>
  <c r="S29" i="10"/>
  <c r="S41" i="10"/>
  <c r="P41" i="10"/>
  <c r="Q29" i="10"/>
  <c r="R72" i="5" l="1"/>
  <c r="R48" i="11"/>
  <c r="R18" i="10" s="1"/>
  <c r="O6" i="22"/>
  <c r="C19" i="22" s="1"/>
  <c r="R16" i="10"/>
  <c r="O8" i="22"/>
  <c r="C21" i="22" s="1"/>
  <c r="R86" i="12"/>
  <c r="R87" i="12" s="1"/>
  <c r="R27" i="10"/>
  <c r="R39" i="10" s="1"/>
  <c r="R17" i="10"/>
  <c r="O7" i="22" s="1"/>
  <c r="C20" i="22" s="1"/>
  <c r="Q85" i="12"/>
  <c r="Q80" i="12"/>
  <c r="Q57" i="12"/>
  <c r="Q64" i="12" s="1"/>
  <c r="Q43" i="12"/>
  <c r="Q31" i="12"/>
  <c r="O85" i="12"/>
  <c r="O80" i="12"/>
  <c r="O43" i="12"/>
  <c r="O31" i="12"/>
  <c r="N85" i="12"/>
  <c r="P80" i="12"/>
  <c r="P57" i="12"/>
  <c r="P64" i="12" s="1"/>
  <c r="P43" i="12"/>
  <c r="P31" i="12"/>
  <c r="L85" i="12"/>
  <c r="N73" i="12"/>
  <c r="N80" i="12" s="1"/>
  <c r="N43" i="12"/>
  <c r="N31" i="12"/>
  <c r="Q53" i="11"/>
  <c r="Q51" i="11"/>
  <c r="Q50" i="11"/>
  <c r="Q46" i="11"/>
  <c r="O53" i="11"/>
  <c r="O50" i="11"/>
  <c r="O51" i="11"/>
  <c r="O46" i="11"/>
  <c r="P53" i="11"/>
  <c r="P50" i="11"/>
  <c r="J51" i="11"/>
  <c r="L51" i="11"/>
  <c r="N50" i="11"/>
  <c r="L50" i="11"/>
  <c r="F50" i="11"/>
  <c r="N46" i="11"/>
  <c r="Q62" i="5"/>
  <c r="Q66" i="5" s="1"/>
  <c r="Q30" i="10"/>
  <c r="Q34" i="5"/>
  <c r="O62" i="5"/>
  <c r="O66" i="5" s="1"/>
  <c r="O30" i="10"/>
  <c r="O32" i="10" s="1"/>
  <c r="O34" i="5"/>
  <c r="P62" i="5"/>
  <c r="P66" i="5" s="1"/>
  <c r="N62" i="5"/>
  <c r="N30" i="10"/>
  <c r="B28" i="15"/>
  <c r="E28" i="15" s="1"/>
  <c r="D28" i="15"/>
  <c r="B29" i="15"/>
  <c r="E29" i="15" s="1"/>
  <c r="D29" i="15"/>
  <c r="B30" i="15"/>
  <c r="D30" i="15"/>
  <c r="E30" i="15" s="1"/>
  <c r="B31" i="15"/>
  <c r="E31" i="15" s="1"/>
  <c r="D31" i="15"/>
  <c r="B32" i="15"/>
  <c r="E32" i="15" s="1"/>
  <c r="D32" i="15"/>
  <c r="B33" i="15"/>
  <c r="E33" i="15" s="1"/>
  <c r="D33" i="15"/>
  <c r="B34" i="15"/>
  <c r="D34" i="15"/>
  <c r="E34" i="15"/>
  <c r="B35" i="15"/>
  <c r="D35" i="15"/>
  <c r="B36" i="15"/>
  <c r="E36" i="15" s="1"/>
  <c r="D36" i="15"/>
  <c r="B37" i="15"/>
  <c r="D37" i="15"/>
  <c r="E37" i="15"/>
  <c r="B38" i="15"/>
  <c r="E38" i="15" s="1"/>
  <c r="D38" i="15"/>
  <c r="B39" i="15"/>
  <c r="E39" i="15" s="1"/>
  <c r="D39" i="15"/>
  <c r="B40" i="15"/>
  <c r="E40" i="15" s="1"/>
  <c r="D40" i="15"/>
  <c r="B41" i="15"/>
  <c r="D41" i="15"/>
  <c r="D42" i="15"/>
  <c r="B42" i="15"/>
  <c r="E42" i="15" s="1"/>
  <c r="D27" i="15"/>
  <c r="B27" i="15"/>
  <c r="Q61" i="11" l="1"/>
  <c r="Q16" i="10" s="1"/>
  <c r="O5" i="22"/>
  <c r="C18" i="22" s="1"/>
  <c r="R37" i="10"/>
  <c r="P61" i="11"/>
  <c r="P27" i="10" s="1"/>
  <c r="P39" i="10" s="1"/>
  <c r="N61" i="11"/>
  <c r="K8" i="22" s="1"/>
  <c r="O61" i="11"/>
  <c r="Q45" i="12"/>
  <c r="Q52" i="12" s="1"/>
  <c r="O9" i="22"/>
  <c r="C22" i="22" s="1"/>
  <c r="O45" i="12"/>
  <c r="O52" i="12" s="1"/>
  <c r="O67" i="12" s="1"/>
  <c r="O82" i="12" s="1"/>
  <c r="O86" i="12" s="1"/>
  <c r="S27" i="10"/>
  <c r="S39" i="10" s="1"/>
  <c r="Q36" i="5"/>
  <c r="R36" i="10"/>
  <c r="S36" i="10"/>
  <c r="O36" i="5"/>
  <c r="Q48" i="11"/>
  <c r="S37" i="10" s="1"/>
  <c r="N45" i="12"/>
  <c r="N52" i="12" s="1"/>
  <c r="N67" i="12" s="1"/>
  <c r="N82" i="12" s="1"/>
  <c r="N86" i="12" s="1"/>
  <c r="N87" i="12" s="1"/>
  <c r="Q67" i="12"/>
  <c r="Q82" i="12" s="1"/>
  <c r="Q86" i="12" s="1"/>
  <c r="Q87" i="12" s="1"/>
  <c r="P45" i="12"/>
  <c r="P52" i="12" s="1"/>
  <c r="P67" i="12" s="1"/>
  <c r="P82" i="12" s="1"/>
  <c r="Q68" i="5"/>
  <c r="Q70" i="5" s="1"/>
  <c r="Q72" i="5" s="1"/>
  <c r="P36" i="10"/>
  <c r="N32" i="10"/>
  <c r="P33" i="10" s="1"/>
  <c r="P28" i="10" s="1"/>
  <c r="N66" i="5"/>
  <c r="N68" i="5" s="1"/>
  <c r="N70" i="5" s="1"/>
  <c r="P36" i="5"/>
  <c r="N16" i="10"/>
  <c r="N17" i="10"/>
  <c r="K7" i="22" s="1"/>
  <c r="E20" i="22" s="1"/>
  <c r="P68" i="5"/>
  <c r="P70" i="5" s="1"/>
  <c r="O68" i="5"/>
  <c r="O70" i="5" s="1"/>
  <c r="Q32" i="10"/>
  <c r="S33" i="10" s="1"/>
  <c r="S28" i="10" s="1"/>
  <c r="Q36" i="10"/>
  <c r="O48" i="11"/>
  <c r="P48" i="11"/>
  <c r="N48" i="11"/>
  <c r="N36" i="5"/>
  <c r="E41" i="15"/>
  <c r="E27" i="15"/>
  <c r="E35" i="15"/>
  <c r="C6" i="15"/>
  <c r="D45" i="14"/>
  <c r="B45" i="14"/>
  <c r="D37" i="14"/>
  <c r="D44" i="14"/>
  <c r="B44" i="14"/>
  <c r="D43" i="14"/>
  <c r="B43" i="14"/>
  <c r="D42" i="14"/>
  <c r="B42" i="14"/>
  <c r="D41" i="14"/>
  <c r="B41" i="14"/>
  <c r="D40" i="14"/>
  <c r="B40" i="14"/>
  <c r="D39" i="14"/>
  <c r="B39" i="14"/>
  <c r="D38" i="14"/>
  <c r="B38" i="14"/>
  <c r="B37" i="14"/>
  <c r="D36" i="14"/>
  <c r="B36" i="14"/>
  <c r="D35" i="14"/>
  <c r="B35" i="14"/>
  <c r="E35" i="14" s="1"/>
  <c r="D34" i="14"/>
  <c r="B34" i="14"/>
  <c r="D33" i="14"/>
  <c r="B33" i="14"/>
  <c r="E33" i="14" s="1"/>
  <c r="D32" i="14"/>
  <c r="B32" i="14"/>
  <c r="D31" i="14"/>
  <c r="B31" i="14"/>
  <c r="D30" i="14"/>
  <c r="B30" i="14"/>
  <c r="C5" i="14"/>
  <c r="N27" i="10" l="1"/>
  <c r="K6" i="22"/>
  <c r="E19" i="22" s="1"/>
  <c r="E38" i="14"/>
  <c r="S26" i="10"/>
  <c r="S35" i="10"/>
  <c r="M5" i="22"/>
  <c r="D18" i="22" s="1"/>
  <c r="P37" i="10"/>
  <c r="P35" i="10" s="1"/>
  <c r="K5" i="22"/>
  <c r="E18" i="22" s="1"/>
  <c r="N37" i="10"/>
  <c r="P72" i="5"/>
  <c r="E45" i="14"/>
  <c r="O72" i="5"/>
  <c r="Q33" i="10"/>
  <c r="Q28" i="10" s="1"/>
  <c r="R33" i="10"/>
  <c r="R28" i="10" s="1"/>
  <c r="Q18" i="10"/>
  <c r="N5" i="22"/>
  <c r="R35" i="10"/>
  <c r="M8" i="22"/>
  <c r="M6" i="22"/>
  <c r="D19" i="22" s="1"/>
  <c r="L8" i="22"/>
  <c r="L9" i="22" s="1"/>
  <c r="L6" i="22"/>
  <c r="N8" i="22"/>
  <c r="N9" i="22" s="1"/>
  <c r="N6" i="22"/>
  <c r="Q27" i="10"/>
  <c r="Q39" i="10" s="1"/>
  <c r="O18" i="10"/>
  <c r="L5" i="22"/>
  <c r="Q17" i="10"/>
  <c r="N7" i="22" s="1"/>
  <c r="K9" i="22"/>
  <c r="E22" i="22" s="1"/>
  <c r="E21" i="22"/>
  <c r="P86" i="12"/>
  <c r="P87" i="12" s="1"/>
  <c r="O87" i="12"/>
  <c r="P18" i="10"/>
  <c r="Q37" i="10"/>
  <c r="Q35" i="10" s="1"/>
  <c r="N72" i="5"/>
  <c r="O17" i="10"/>
  <c r="L7" i="22" s="1"/>
  <c r="O16" i="10"/>
  <c r="P16" i="10"/>
  <c r="P17" i="10"/>
  <c r="M7" i="22" s="1"/>
  <c r="D20" i="22" s="1"/>
  <c r="N18" i="10"/>
  <c r="E32" i="14"/>
  <c r="E34" i="14"/>
  <c r="E39" i="14"/>
  <c r="E30" i="14"/>
  <c r="E42" i="14"/>
  <c r="E31" i="14"/>
  <c r="E43" i="14"/>
  <c r="E36" i="14"/>
  <c r="E40" i="14"/>
  <c r="E41" i="14"/>
  <c r="E37" i="14"/>
  <c r="E44" i="14"/>
  <c r="D21" i="22" l="1"/>
  <c r="M9" i="22"/>
  <c r="D22" i="22" s="1"/>
  <c r="R26" i="10"/>
  <c r="Q26" i="10"/>
  <c r="P26" i="10"/>
  <c r="D34" i="13"/>
  <c r="B28" i="13"/>
  <c r="D28" i="13"/>
  <c r="B29" i="13"/>
  <c r="D29" i="13"/>
  <c r="B30" i="13"/>
  <c r="D30" i="13"/>
  <c r="B31" i="13"/>
  <c r="D31" i="13"/>
  <c r="B32" i="13"/>
  <c r="D32" i="13"/>
  <c r="B33" i="13"/>
  <c r="D33" i="13"/>
  <c r="B34" i="13"/>
  <c r="E34" i="13" s="1"/>
  <c r="B35" i="13"/>
  <c r="D35" i="13"/>
  <c r="B36" i="13"/>
  <c r="E36" i="13" s="1"/>
  <c r="D36" i="13"/>
  <c r="B37" i="13"/>
  <c r="D37" i="13"/>
  <c r="B38" i="13"/>
  <c r="D38" i="13"/>
  <c r="B39" i="13"/>
  <c r="D39" i="13"/>
  <c r="B40" i="13"/>
  <c r="D40" i="13"/>
  <c r="B41" i="13"/>
  <c r="D41" i="13"/>
  <c r="D27" i="13"/>
  <c r="B27" i="13"/>
  <c r="E27" i="13" s="1"/>
  <c r="E35" i="13" l="1"/>
  <c r="E29" i="13"/>
  <c r="E32" i="13"/>
  <c r="E37" i="13"/>
  <c r="E40" i="13"/>
  <c r="E38" i="13"/>
  <c r="E28" i="13"/>
  <c r="E41" i="13"/>
  <c r="E31" i="13"/>
  <c r="E30" i="13"/>
  <c r="E39" i="13"/>
  <c r="E33" i="13"/>
  <c r="O17" i="13" l="1"/>
  <c r="O16" i="13"/>
  <c r="O15" i="13"/>
  <c r="O14" i="13"/>
  <c r="N15" i="15"/>
  <c r="N17" i="15"/>
  <c r="N16" i="15"/>
  <c r="N15" i="14"/>
  <c r="N17" i="13"/>
  <c r="N17" i="14"/>
  <c r="N16" i="14"/>
  <c r="N14" i="13"/>
  <c r="N16" i="13"/>
  <c r="N15" i="13"/>
  <c r="L14" i="13"/>
  <c r="L17" i="13"/>
  <c r="L16" i="13"/>
  <c r="L15" i="13"/>
  <c r="M16" i="14"/>
  <c r="M16" i="13"/>
  <c r="M17" i="13"/>
  <c r="M15" i="13"/>
  <c r="M14" i="13"/>
  <c r="L17" i="14"/>
  <c r="L16" i="14"/>
  <c r="L15" i="14"/>
  <c r="M17" i="14"/>
  <c r="M15" i="14"/>
  <c r="M16" i="15"/>
  <c r="M17" i="15"/>
  <c r="M15" i="15"/>
  <c r="L17" i="15"/>
  <c r="L18" i="15" s="1"/>
  <c r="L19" i="15" s="1"/>
  <c r="L5" i="15" s="1"/>
  <c r="L16" i="15"/>
  <c r="L15" i="15"/>
  <c r="M12" i="10"/>
  <c r="L12" i="10"/>
  <c r="D12" i="10"/>
  <c r="E12" i="10"/>
  <c r="F12" i="10"/>
  <c r="G12" i="10"/>
  <c r="H12" i="10"/>
  <c r="I12" i="10"/>
  <c r="J12" i="10"/>
  <c r="K12" i="10"/>
  <c r="C12" i="10"/>
  <c r="M40" i="10"/>
  <c r="O41" i="10" s="1"/>
  <c r="L40" i="10"/>
  <c r="E40" i="10"/>
  <c r="F40" i="10"/>
  <c r="G40" i="10"/>
  <c r="I40" i="10"/>
  <c r="J40" i="10"/>
  <c r="K40" i="10"/>
  <c r="C40" i="10"/>
  <c r="N41" i="10" l="1"/>
  <c r="N39" i="10" s="1"/>
  <c r="M41" i="10"/>
  <c r="L18" i="13"/>
  <c r="M18" i="14"/>
  <c r="M19" i="14" s="1"/>
  <c r="L9" i="14" s="1"/>
  <c r="M18" i="13"/>
  <c r="M19" i="13" s="1"/>
  <c r="L8" i="13" s="1"/>
  <c r="O18" i="13"/>
  <c r="O19" i="13" s="1"/>
  <c r="L9" i="13" s="1"/>
  <c r="N18" i="15"/>
  <c r="N19" i="15" s="1"/>
  <c r="L7" i="15" s="1"/>
  <c r="N18" i="14"/>
  <c r="N19" i="14" s="1"/>
  <c r="L10" i="14" s="1"/>
  <c r="N18" i="13"/>
  <c r="N19" i="13" s="1"/>
  <c r="L10" i="13" s="1"/>
  <c r="L19" i="13"/>
  <c r="L5" i="13" s="1"/>
  <c r="L18" i="14"/>
  <c r="L19" i="14" s="1"/>
  <c r="L4" i="14" s="1"/>
  <c r="M18" i="15"/>
  <c r="M19" i="15" s="1"/>
  <c r="L9" i="15" s="1"/>
  <c r="L41" i="10"/>
  <c r="K41" i="10"/>
  <c r="G41" i="10"/>
  <c r="M6" i="10"/>
  <c r="L6" i="10"/>
  <c r="K6" i="10"/>
  <c r="I6" i="10"/>
  <c r="G6" i="10"/>
  <c r="D6" i="10"/>
  <c r="C6" i="10"/>
  <c r="H5" i="10"/>
  <c r="E3" i="22" s="1"/>
  <c r="H16" i="22" s="1"/>
  <c r="G5" i="10"/>
  <c r="D3" i="22" s="1"/>
  <c r="F5" i="10"/>
  <c r="E5" i="10"/>
  <c r="E7" i="10" s="1"/>
  <c r="D5" i="10"/>
  <c r="D7" i="10" s="1"/>
  <c r="C5" i="10"/>
  <c r="C7" i="10" s="1"/>
  <c r="F7" i="10" l="1"/>
  <c r="C3" i="22"/>
  <c r="I16" i="22" s="1"/>
  <c r="L16" i="12"/>
  <c r="L17" i="12"/>
  <c r="M17" i="12"/>
  <c r="M16" i="12"/>
  <c r="K16" i="12"/>
  <c r="K17" i="12"/>
  <c r="J16" i="12"/>
  <c r="I16" i="12"/>
  <c r="I17" i="12"/>
  <c r="K31" i="12" l="1"/>
  <c r="G43" i="12"/>
  <c r="H43" i="12"/>
  <c r="I43" i="12"/>
  <c r="J43" i="12"/>
  <c r="K43" i="12"/>
  <c r="M43" i="12"/>
  <c r="D84" i="12"/>
  <c r="C84" i="12"/>
  <c r="I31" i="10" l="1"/>
  <c r="G31" i="10"/>
  <c r="E31" i="10"/>
  <c r="C31" i="10"/>
  <c r="C11" i="10"/>
  <c r="K25" i="5"/>
  <c r="K24" i="5" s="1"/>
  <c r="M11" i="10"/>
  <c r="G11" i="10"/>
  <c r="H11" i="10"/>
  <c r="D11" i="10"/>
  <c r="E11" i="10"/>
  <c r="F11" i="10"/>
  <c r="I11" i="10"/>
  <c r="J11" i="10"/>
  <c r="K11" i="10"/>
  <c r="L11" i="10"/>
  <c r="F23" i="10"/>
  <c r="H23" i="10"/>
  <c r="J23" i="10"/>
  <c r="L23" i="10"/>
  <c r="F22" i="10"/>
  <c r="H22" i="10"/>
  <c r="J22" i="10"/>
  <c r="L22" i="10"/>
  <c r="F21" i="10"/>
  <c r="H21" i="10"/>
  <c r="J21" i="10"/>
  <c r="L21" i="10"/>
  <c r="L29" i="10" l="1"/>
  <c r="K29" i="10"/>
  <c r="M29" i="10"/>
  <c r="O29" i="10"/>
  <c r="N29" i="10"/>
  <c r="K31" i="10"/>
  <c r="F29" i="10"/>
  <c r="E29" i="10"/>
  <c r="J29" i="10"/>
  <c r="G29" i="10"/>
  <c r="I29" i="10"/>
  <c r="H29" i="10"/>
  <c r="K7" i="10" l="1"/>
  <c r="I7" i="10"/>
  <c r="G7" i="10"/>
  <c r="J7" i="10"/>
  <c r="H7" i="10"/>
  <c r="J39" i="11"/>
  <c r="L18" i="11"/>
  <c r="M18" i="11"/>
  <c r="K18" i="11"/>
  <c r="J18" i="11"/>
  <c r="I39" i="11"/>
  <c r="I18" i="11"/>
  <c r="G50" i="11"/>
  <c r="G15" i="11"/>
  <c r="D50" i="11"/>
  <c r="D51" i="11"/>
  <c r="M25" i="5" l="1"/>
  <c r="L25" i="5"/>
  <c r="L31" i="10" s="1"/>
  <c r="J25" i="5"/>
  <c r="J31" i="10" s="1"/>
  <c r="F25" i="5"/>
  <c r="F31" i="10" s="1"/>
  <c r="D7" i="5"/>
  <c r="M59" i="5"/>
  <c r="M62" i="5"/>
  <c r="K62" i="5"/>
  <c r="K66" i="5" s="1"/>
  <c r="M66" i="5" l="1"/>
  <c r="M31" i="10"/>
  <c r="M24" i="5"/>
  <c r="K37" i="11"/>
  <c r="H11" i="12"/>
  <c r="D10" i="12"/>
  <c r="G85" i="12" l="1"/>
  <c r="E85" i="12"/>
  <c r="C85" i="12"/>
  <c r="M80" i="12"/>
  <c r="L80" i="12"/>
  <c r="K80" i="12"/>
  <c r="J80" i="12"/>
  <c r="I80" i="12"/>
  <c r="H80" i="12"/>
  <c r="G80" i="12"/>
  <c r="E80" i="12"/>
  <c r="D80" i="12"/>
  <c r="C80" i="12"/>
  <c r="F70" i="12"/>
  <c r="F80" i="12" s="1"/>
  <c r="C64" i="12"/>
  <c r="D57" i="12"/>
  <c r="D64" i="12" s="1"/>
  <c r="F43" i="12"/>
  <c r="E43" i="12"/>
  <c r="D43" i="12"/>
  <c r="C43" i="12"/>
  <c r="L34" i="12"/>
  <c r="L43" i="12" s="1"/>
  <c r="L24" i="12"/>
  <c r="J24" i="12"/>
  <c r="G24" i="12"/>
  <c r="F24" i="12"/>
  <c r="E24" i="12"/>
  <c r="D24" i="12"/>
  <c r="C24" i="12"/>
  <c r="L22" i="12"/>
  <c r="H22" i="12"/>
  <c r="G22" i="12"/>
  <c r="F22" i="12"/>
  <c r="E22" i="12"/>
  <c r="D22" i="12"/>
  <c r="C22" i="12"/>
  <c r="L15" i="12"/>
  <c r="H15" i="12"/>
  <c r="G15" i="12"/>
  <c r="F15" i="12"/>
  <c r="E15" i="12"/>
  <c r="D15" i="12"/>
  <c r="C15" i="12"/>
  <c r="L12" i="12"/>
  <c r="G12" i="12"/>
  <c r="F12" i="12"/>
  <c r="E12" i="12"/>
  <c r="D12" i="12"/>
  <c r="C12" i="12"/>
  <c r="L10" i="12"/>
  <c r="I10" i="12"/>
  <c r="G10" i="12"/>
  <c r="E10" i="12"/>
  <c r="C10" i="12"/>
  <c r="L9" i="12"/>
  <c r="G9" i="12"/>
  <c r="F9" i="12"/>
  <c r="E9" i="12"/>
  <c r="D9" i="12"/>
  <c r="C9" i="12"/>
  <c r="M51" i="11"/>
  <c r="I51" i="11"/>
  <c r="F51" i="11"/>
  <c r="H50" i="11"/>
  <c r="K43" i="11"/>
  <c r="K51" i="11" s="1"/>
  <c r="M40" i="11"/>
  <c r="M41" i="11" s="1"/>
  <c r="L40" i="11"/>
  <c r="L41" i="11" s="1"/>
  <c r="K40" i="11"/>
  <c r="K41" i="11" s="1"/>
  <c r="J40" i="11"/>
  <c r="J41" i="11" s="1"/>
  <c r="I40" i="11"/>
  <c r="I41" i="11" s="1"/>
  <c r="H41" i="11"/>
  <c r="G41" i="11"/>
  <c r="F41" i="11"/>
  <c r="E41" i="11"/>
  <c r="D41" i="11"/>
  <c r="C41" i="11"/>
  <c r="L37" i="11"/>
  <c r="J37" i="11"/>
  <c r="I37" i="11"/>
  <c r="H37" i="11"/>
  <c r="F37" i="11"/>
  <c r="D37" i="11"/>
  <c r="M26" i="11"/>
  <c r="L46" i="11"/>
  <c r="L61" i="11" s="1"/>
  <c r="K21" i="11"/>
  <c r="K26" i="11" s="1"/>
  <c r="J21" i="11"/>
  <c r="J26" i="11" s="1"/>
  <c r="J46" i="11" s="1"/>
  <c r="J61" i="11" s="1"/>
  <c r="I21" i="11"/>
  <c r="I26" i="11" s="1"/>
  <c r="I46" i="11" s="1"/>
  <c r="I61" i="11" s="1"/>
  <c r="H21" i="11"/>
  <c r="H26" i="11" s="1"/>
  <c r="H46" i="11" s="1"/>
  <c r="H61" i="11" s="1"/>
  <c r="G21" i="11"/>
  <c r="G26" i="11" s="1"/>
  <c r="G46" i="11" s="1"/>
  <c r="G61" i="11" s="1"/>
  <c r="F21" i="11"/>
  <c r="F26" i="11" s="1"/>
  <c r="F46" i="11" s="1"/>
  <c r="E21" i="11"/>
  <c r="E26" i="11" s="1"/>
  <c r="E46" i="11" s="1"/>
  <c r="D21" i="11"/>
  <c r="D26" i="11" s="1"/>
  <c r="D46" i="11" s="1"/>
  <c r="D61" i="11" s="1"/>
  <c r="H15" i="11"/>
  <c r="F15" i="11"/>
  <c r="D15" i="11"/>
  <c r="K11" i="11"/>
  <c r="E6" i="10"/>
  <c r="F61" i="11" l="1"/>
  <c r="F27" i="10" s="1"/>
  <c r="E8" i="22"/>
  <c r="E6" i="22"/>
  <c r="H19" i="22" s="1"/>
  <c r="G6" i="12"/>
  <c r="G31" i="12" s="1"/>
  <c r="G45" i="12" s="1"/>
  <c r="G52" i="12" s="1"/>
  <c r="F6" i="22"/>
  <c r="F8" i="22"/>
  <c r="F9" i="22" s="1"/>
  <c r="I6" i="22"/>
  <c r="F19" i="22" s="1"/>
  <c r="I8" i="22"/>
  <c r="J48" i="11"/>
  <c r="F6" i="12"/>
  <c r="L31" i="12"/>
  <c r="L45" i="12" s="1"/>
  <c r="L52" i="12" s="1"/>
  <c r="M31" i="12"/>
  <c r="M45" i="12" s="1"/>
  <c r="M52" i="12" s="1"/>
  <c r="M67" i="12" s="1"/>
  <c r="M46" i="11"/>
  <c r="M61" i="11" s="1"/>
  <c r="C26" i="11"/>
  <c r="C46" i="11" s="1"/>
  <c r="C48" i="11" s="1"/>
  <c r="C18" i="10" s="1"/>
  <c r="C15" i="10"/>
  <c r="K46" i="11"/>
  <c r="K61" i="11" s="1"/>
  <c r="J31" i="12"/>
  <c r="F31" i="12"/>
  <c r="C31" i="12"/>
  <c r="D31" i="12"/>
  <c r="H31" i="12"/>
  <c r="I31" i="12"/>
  <c r="I45" i="12" s="1"/>
  <c r="I52" i="12" s="1"/>
  <c r="E31" i="12"/>
  <c r="M11" i="11"/>
  <c r="K45" i="12"/>
  <c r="K52" i="12" s="1"/>
  <c r="D48" i="11"/>
  <c r="D37" i="10" s="1"/>
  <c r="E48" i="11"/>
  <c r="H27" i="10"/>
  <c r="H48" i="11"/>
  <c r="F48" i="11"/>
  <c r="I48" i="11"/>
  <c r="F5" i="22" s="1"/>
  <c r="G48" i="11"/>
  <c r="D5" i="22" s="1"/>
  <c r="G16" i="10"/>
  <c r="J27" i="10"/>
  <c r="L48" i="11"/>
  <c r="I5" i="22" s="1"/>
  <c r="F18" i="22" s="1"/>
  <c r="L24" i="5"/>
  <c r="J24" i="5"/>
  <c r="H37" i="10" l="1"/>
  <c r="E5" i="22"/>
  <c r="H18" i="22" s="1"/>
  <c r="I9" i="22"/>
  <c r="F22" i="22" s="1"/>
  <c r="F21" i="22"/>
  <c r="C6" i="22"/>
  <c r="I19" i="22" s="1"/>
  <c r="C8" i="22"/>
  <c r="D6" i="22"/>
  <c r="D8" i="22"/>
  <c r="D9" i="22" s="1"/>
  <c r="K48" i="11"/>
  <c r="H5" i="22" s="1"/>
  <c r="G6" i="22"/>
  <c r="G19" i="22" s="1"/>
  <c r="G8" i="22"/>
  <c r="F37" i="10"/>
  <c r="C5" i="22"/>
  <c r="I18" i="22" s="1"/>
  <c r="J37" i="10"/>
  <c r="G5" i="22"/>
  <c r="G18" i="22" s="1"/>
  <c r="H21" i="22"/>
  <c r="E9" i="22"/>
  <c r="H22" i="22" s="1"/>
  <c r="M48" i="11"/>
  <c r="K27" i="10"/>
  <c r="K39" i="10" s="1"/>
  <c r="I37" i="10"/>
  <c r="L27" i="10"/>
  <c r="L39" i="10" s="1"/>
  <c r="L37" i="10"/>
  <c r="G37" i="10"/>
  <c r="I27" i="10"/>
  <c r="E37" i="10"/>
  <c r="D27" i="10"/>
  <c r="D16" i="10"/>
  <c r="M82" i="12"/>
  <c r="M86" i="12" s="1"/>
  <c r="M87" i="12" s="1"/>
  <c r="H45" i="12"/>
  <c r="H52" i="12" s="1"/>
  <c r="H67" i="12" s="1"/>
  <c r="D45" i="12"/>
  <c r="D52" i="12" s="1"/>
  <c r="D67" i="12" s="1"/>
  <c r="C45" i="12"/>
  <c r="C52" i="12" s="1"/>
  <c r="C67" i="12" s="1"/>
  <c r="C82" i="12" s="1"/>
  <c r="C87" i="12" s="1"/>
  <c r="F45" i="12"/>
  <c r="F52" i="12" s="1"/>
  <c r="F67" i="12" s="1"/>
  <c r="E45" i="12"/>
  <c r="E52" i="12" s="1"/>
  <c r="E67" i="12" s="1"/>
  <c r="J45" i="12"/>
  <c r="J52" i="12" s="1"/>
  <c r="J67" i="12" s="1"/>
  <c r="G67" i="12"/>
  <c r="I67" i="12"/>
  <c r="K67" i="12"/>
  <c r="L67" i="12"/>
  <c r="C66" i="5"/>
  <c r="C34" i="5"/>
  <c r="M30" i="10"/>
  <c r="M34" i="5"/>
  <c r="K34" i="5"/>
  <c r="G15" i="10"/>
  <c r="D6" i="5"/>
  <c r="D38" i="5"/>
  <c r="C39" i="5"/>
  <c r="D39" i="5"/>
  <c r="J42" i="5"/>
  <c r="J41" i="5"/>
  <c r="J39" i="5"/>
  <c r="J38" i="5"/>
  <c r="J46" i="5" s="1"/>
  <c r="H25" i="5"/>
  <c r="H31" i="10" s="1"/>
  <c r="H24" i="5"/>
  <c r="H7" i="5"/>
  <c r="H41" i="5"/>
  <c r="H39" i="5"/>
  <c r="H38" i="5"/>
  <c r="H6" i="5"/>
  <c r="D46" i="5" l="1"/>
  <c r="H46" i="5"/>
  <c r="K37" i="10"/>
  <c r="C30" i="10"/>
  <c r="C32" i="10" s="1"/>
  <c r="D40" i="10"/>
  <c r="F41" i="10" s="1"/>
  <c r="F39" i="10" s="1"/>
  <c r="D20" i="5"/>
  <c r="H40" i="10"/>
  <c r="H41" i="10" s="1"/>
  <c r="H39" i="10" s="1"/>
  <c r="H20" i="5"/>
  <c r="C9" i="22"/>
  <c r="I22" i="22" s="1"/>
  <c r="I21" i="22"/>
  <c r="H6" i="22"/>
  <c r="H8" i="22"/>
  <c r="H9" i="22" s="1"/>
  <c r="J8" i="22"/>
  <c r="J9" i="22" s="1"/>
  <c r="J6" i="22"/>
  <c r="G21" i="22"/>
  <c r="G9" i="22"/>
  <c r="G22" i="22" s="1"/>
  <c r="O27" i="10"/>
  <c r="O39" i="10" s="1"/>
  <c r="O37" i="10"/>
  <c r="J5" i="22"/>
  <c r="M37" i="10"/>
  <c r="M32" i="10"/>
  <c r="O33" i="10" s="1"/>
  <c r="O28" i="10" s="1"/>
  <c r="O36" i="10"/>
  <c r="M27" i="10"/>
  <c r="M39" i="10" s="1"/>
  <c r="I41" i="10"/>
  <c r="I39" i="10" s="1"/>
  <c r="H82" i="12"/>
  <c r="F82" i="12"/>
  <c r="F86" i="12" s="1"/>
  <c r="F87" i="12" s="1"/>
  <c r="D82" i="12"/>
  <c r="D87" i="12" s="1"/>
  <c r="L82" i="12"/>
  <c r="K82" i="12"/>
  <c r="K86" i="12" s="1"/>
  <c r="K87" i="12" s="1"/>
  <c r="J82" i="12"/>
  <c r="J86" i="12" s="1"/>
  <c r="J87" i="12" s="1"/>
  <c r="I82" i="12"/>
  <c r="I86" i="12" s="1"/>
  <c r="I87" i="12" s="1"/>
  <c r="G82" i="12"/>
  <c r="G86" i="12" s="1"/>
  <c r="G87" i="12" s="1"/>
  <c r="E82" i="12"/>
  <c r="E86" i="12" s="1"/>
  <c r="E87" i="12" s="1"/>
  <c r="K36" i="5"/>
  <c r="D25" i="5"/>
  <c r="F24" i="5"/>
  <c r="F7" i="5"/>
  <c r="F41" i="5"/>
  <c r="K30" i="10"/>
  <c r="F39" i="5"/>
  <c r="F38" i="5"/>
  <c r="F46" i="5" s="1"/>
  <c r="M36" i="5"/>
  <c r="E41" i="10" l="1"/>
  <c r="J41" i="10"/>
  <c r="J39" i="10" s="1"/>
  <c r="D39" i="10"/>
  <c r="O26" i="10"/>
  <c r="O35" i="10"/>
  <c r="L86" i="12"/>
  <c r="L87" i="12" s="1"/>
  <c r="H86" i="12"/>
  <c r="H87" i="12" s="1"/>
  <c r="D24" i="5"/>
  <c r="D31" i="10"/>
  <c r="K32" i="10"/>
  <c r="F30" i="10" l="1"/>
  <c r="M15" i="10"/>
  <c r="L15" i="10"/>
  <c r="K15" i="10"/>
  <c r="J15" i="10"/>
  <c r="I15" i="10"/>
  <c r="H15" i="10"/>
  <c r="F15" i="10"/>
  <c r="D15" i="10"/>
  <c r="E15" i="10"/>
  <c r="F32" i="10" l="1"/>
  <c r="K68" i="5"/>
  <c r="K70" i="5" s="1"/>
  <c r="K72" i="5" s="1"/>
  <c r="M68" i="5"/>
  <c r="M70" i="5" s="1"/>
  <c r="M72" i="5" s="1"/>
  <c r="E39" i="5"/>
  <c r="E38" i="5"/>
  <c r="E46" i="5" s="1"/>
  <c r="E30" i="10" l="1"/>
  <c r="E32" i="10" l="1"/>
  <c r="M16" i="10"/>
  <c r="M17" i="10"/>
  <c r="J7" i="22" s="1"/>
  <c r="K18" i="10"/>
  <c r="K17" i="10"/>
  <c r="H7" i="22" s="1"/>
  <c r="K16" i="10"/>
  <c r="M18" i="10"/>
  <c r="C68" i="5"/>
  <c r="C70" i="5" s="1"/>
  <c r="C36" i="5"/>
  <c r="C72" i="5" l="1"/>
  <c r="D30" i="10" l="1"/>
  <c r="D17" i="10"/>
  <c r="D8" i="5"/>
  <c r="D36" i="5"/>
  <c r="D68" i="5"/>
  <c r="I62" i="5"/>
  <c r="I66" i="5" s="1"/>
  <c r="E34" i="5"/>
  <c r="G34" i="5"/>
  <c r="I34" i="5"/>
  <c r="F36" i="10" l="1"/>
  <c r="F35" i="10" s="1"/>
  <c r="E36" i="10"/>
  <c r="E35" i="10" s="1"/>
  <c r="D32" i="10"/>
  <c r="D18" i="10"/>
  <c r="I30" i="10"/>
  <c r="G30" i="10"/>
  <c r="D70" i="5"/>
  <c r="D72" i="5" s="1"/>
  <c r="H68" i="5"/>
  <c r="F68" i="5"/>
  <c r="H8" i="5"/>
  <c r="I68" i="5"/>
  <c r="F8" i="5"/>
  <c r="E36" i="5"/>
  <c r="G36" i="5"/>
  <c r="I36" i="5"/>
  <c r="F36" i="5"/>
  <c r="E68" i="5"/>
  <c r="E70" i="5" s="1"/>
  <c r="G68" i="5"/>
  <c r="H36" i="5"/>
  <c r="F33" i="10" l="1"/>
  <c r="F28" i="10" s="1"/>
  <c r="F26" i="10" s="1"/>
  <c r="E33" i="10"/>
  <c r="E28" i="10" s="1"/>
  <c r="H30" i="10"/>
  <c r="I36" i="10" s="1"/>
  <c r="I35" i="10" s="1"/>
  <c r="G32" i="10"/>
  <c r="H36" i="10"/>
  <c r="H35" i="10" s="1"/>
  <c r="G36" i="10"/>
  <c r="G35" i="10" s="1"/>
  <c r="I32" i="10"/>
  <c r="E18" i="10"/>
  <c r="F18" i="10"/>
  <c r="I17" i="10"/>
  <c r="F7" i="22" s="1"/>
  <c r="I16" i="10"/>
  <c r="F17" i="10"/>
  <c r="C7" i="22" s="1"/>
  <c r="I20" i="22" s="1"/>
  <c r="F16" i="10"/>
  <c r="H18" i="10"/>
  <c r="G17" i="10"/>
  <c r="D7" i="22" s="1"/>
  <c r="I18" i="10"/>
  <c r="G18" i="10"/>
  <c r="H16" i="10"/>
  <c r="H17" i="10"/>
  <c r="E7" i="22" s="1"/>
  <c r="H20" i="22" s="1"/>
  <c r="G70" i="5"/>
  <c r="G72" i="5" s="1"/>
  <c r="I70" i="5"/>
  <c r="I72" i="5" s="1"/>
  <c r="H70" i="5"/>
  <c r="H72" i="5" s="1"/>
  <c r="F70" i="5"/>
  <c r="F72" i="5" s="1"/>
  <c r="E72" i="5"/>
  <c r="G33" i="10" l="1"/>
  <c r="G28" i="10" s="1"/>
  <c r="H32" i="10"/>
  <c r="J8" i="5"/>
  <c r="L8" i="5"/>
  <c r="H33" i="10" l="1"/>
  <c r="H28" i="10" s="1"/>
  <c r="H26" i="10" s="1"/>
  <c r="I33" i="10"/>
  <c r="I28" i="10" s="1"/>
  <c r="I26" i="10" s="1"/>
  <c r="J18" i="10"/>
  <c r="J30" i="10"/>
  <c r="L68" i="5"/>
  <c r="J68" i="5"/>
  <c r="J36" i="5"/>
  <c r="L36" i="5"/>
  <c r="J32" i="10" l="1"/>
  <c r="K36" i="10"/>
  <c r="K35" i="10" s="1"/>
  <c r="J36" i="10"/>
  <c r="J35" i="10" s="1"/>
  <c r="L30" i="10"/>
  <c r="L17" i="10"/>
  <c r="I7" i="22" s="1"/>
  <c r="F20" i="22" s="1"/>
  <c r="L16" i="10"/>
  <c r="L18" i="10"/>
  <c r="J17" i="10"/>
  <c r="G7" i="22" s="1"/>
  <c r="G20" i="22" s="1"/>
  <c r="J16" i="10"/>
  <c r="J70" i="5"/>
  <c r="J72" i="5" s="1"/>
  <c r="L70" i="5"/>
  <c r="L72" i="5" s="1"/>
  <c r="N36" i="10" l="1"/>
  <c r="N35" i="10" s="1"/>
  <c r="M36" i="10"/>
  <c r="M35" i="10" s="1"/>
  <c r="L36" i="10"/>
  <c r="L35" i="10" s="1"/>
  <c r="K33" i="10"/>
  <c r="K28" i="10" s="1"/>
  <c r="K26" i="10" s="1"/>
  <c r="J33" i="10"/>
  <c r="J28" i="10" s="1"/>
  <c r="J26" i="10" s="1"/>
  <c r="L4" i="15" s="1"/>
  <c r="L32" i="10"/>
  <c r="N33" i="10" l="1"/>
  <c r="N28" i="10" s="1"/>
  <c r="N26" i="10" s="1"/>
  <c r="L4" i="13" s="1"/>
  <c r="M33" i="10"/>
  <c r="M28" i="10" s="1"/>
  <c r="M26" i="10" s="1"/>
  <c r="L33" i="10"/>
  <c r="L28" i="10" s="1"/>
  <c r="L26" i="10" s="1"/>
  <c r="L5" i="14" s="1"/>
  <c r="T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Aziz, Kalim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&lt;?xml version="1.0" encoding="utf-8"?&gt;&lt;Schema xmlns:xsi="http://www.w3.org/2001/XMLSchema-instance" xmlns:xsd="http://www.w3.org/2001/XMLSchema" Version="2" Timestamp="1630513021"&gt;&lt;FQL&gt;&lt;Q&gt;BASIC SHARES (M)^PROPER(CONVERT_DATE(FE_TIMESERIES_PERIOD(,2016,2026,CY,''),"MMM 'YY"))&lt;/Q&gt;&lt;R&gt;0&lt;/R&gt;&lt;C&gt;0&lt;/C&gt;&lt;/FQL&gt;&lt;FQL&gt;&lt;Q&gt;BASIC SHARES (M)^FE_TIMESERIES_PERIOD(,2016,2026,CY,'')&lt;/Q&gt;&lt;R&gt;0&lt;/R&gt;&lt;C&gt;0&lt;/C&gt;&lt;/FQL&gt;&lt;FQL&gt;&lt;Q&gt;BASIC SHARES (M)^FE_TIMESERIES(EPS,MEAN,2016,2026,CY,'BKRACTMED=1,WIN=0,CURRENCY=USD,UNITS=AUTO,CALC=CALA,DATE=NOW')&lt;/Q&gt;&lt;R&gt;0&lt;/R&gt;&lt;C&gt;0&lt;/C&gt;&lt;/FQL&gt;&lt;FQL&gt;&lt;Q&gt;BASIC SHARES (M)^FE_TIMESERIES(EAG,MEAN,2016,2026,CY,'BKRACTMED=1,WIN=0,CURRENCY=USD,UNITS=AUTO,CALC=CALA,DATE=NOW')&lt;/Q&gt;&lt;R&gt;0&lt;/R&gt;&lt;C&gt;0&lt;/C&gt;&lt;/FQL&gt;&lt;FQL&gt;&lt;Q&gt;BASIC SHARES (M)^FE_TIMESERIES(EBG,MEAN,2016,2026,CY,'BKRACTMED=1,WIN=0,CURRENCY=USD,UNITS=AUTO,CALC=CALA,DATE=NOW')&lt;/Q&gt;&lt;R&gt;0&lt;/R&gt;&lt;C&gt;0&lt;/C&gt;&lt;/FQL&gt;&lt;FQL&gt;&lt;Q&gt;SALMOCAM-CL^FE_TIMESERIES(EAG,MEAN,2016,2026,FY,'BKRACTMED=1,WIN=0,CURRENCY=USD,UNITS=AUTO,DATE=NOW')&lt;/Q&gt;&lt;R&gt;0&lt;/R&gt;&lt;C&gt;0&lt;/C&gt;&lt;/FQL&gt;&lt;FQL&gt;&lt;Q&gt;MOWI-NO^PROPER(CONVERT_DATE(FE_TIMESERIES_PERIOD(,2016,2025,FY,'DISPLAY=YYYYMMDD'),"MMM 'YY"))&lt;/Q&gt;&lt;R&gt;10&lt;/R&gt;&lt;C&gt;1&lt;/C&gt;&lt;D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'25&lt;/D&gt;&lt;/FQL&gt;&lt;FQL&gt;&lt;Q&gt;MOWI-NO^FE_TIMESERIES_SHARP(EPS,MEAN,2016,2025,FY,'BKRACTMED=1,WIN=0,UNITS=AUTO,DATE=NOW')&lt;/Q&gt;&lt;R&gt;10&lt;/R&gt;&lt;C&gt;1&lt;/C&gt;&lt;D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xsi:type="xsd:string"&gt;@NA&lt;/D&gt;&lt;/FQL&gt;&lt;FQL&gt;&lt;Q&gt;MOWI-NO^PROPER(CONVERT_DATE(FE_TIMESERIES_PERIOD(,2016,2026,CY,''),"MMM 'YY"))&lt;/Q&gt;&lt;R&gt;11&lt;/R&gt;&lt;C&gt;1&lt;/C&gt;&lt;D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'25&lt;/D&gt;&lt;D xsi:type="xsd:string"&gt;Dec '26&lt;/D&gt;&lt;/FQL&gt;&lt;FQL&gt;&lt;Q&gt;MOWI-NO^FE_TIMESERIES_PERIOD(,2016,2026,CY,'')&lt;/Q&gt;&lt;R&gt;11&lt;/R&gt;&lt;C&gt;1&lt;/C&gt;&lt;D xsi:type="xsd:string"&gt;2016&lt;/D&gt;&lt;D xsi:type="xsd:string"&gt;2017&lt;/D&gt;&lt;D xsi:type="xsd:string"&gt;2018&lt;/D&gt;&lt;D xsi:type="xsd:string"&gt;2019&lt;/D&gt;&lt;D xsi:type="xsd:string"&gt;2020&lt;/D&gt;&lt;D xsi:type="xsd:string"&gt;2021&lt;/D&gt;&lt;D xsi:type="xsd:string"&gt;2022&lt;/D&gt;&lt;D xsi:type="xsd:string"&gt;2023&lt;/D&gt;&lt;D xsi:type="xsd:string"&gt;2024&lt;/D&gt;&lt;D xsi:type="xsd:string"&gt;2025&lt;/D&gt;&lt;D xsi:type="xsd:string"&gt;2026&lt;/D&gt;&lt;/FQL&gt;&lt;FQL&gt;&lt;Q&gt;MOWI-NO^FE_TIMESERIES(SALES,MEAN,2016,2026,CY,'BKRACTMED=1,WIN=0,CURRENCY=USD,UNITS=AUTO,CALC=CALA,DATE=NOW')&lt;/Q&gt;&lt;R&gt;11&lt;/R&gt;&lt;C&gt;1&lt;/C&gt;&lt;D xsi:type="xsd:double"&gt;3711.2986&lt;/D&gt;&lt;D xsi:type="xsd:double"&gt;4533.335&lt;/D&gt;&lt;D xsi:type="xsd:double"&gt;4305.6167&lt;/D&gt;&lt;D xsi:type="xsd:double"&gt;4505.834&lt;/D&gt;&lt;D xsi:type="xsd:double"&gt;4556.9863&lt;/D&gt;&lt;D xsi:type="xsd:double"&gt;4943.2246&lt;/D&gt;&lt;D xsi:type="xsd:double"&gt;5369.091&lt;/D&gt;&lt;D xsi:type="xsd:double"&gt;5529.6904&lt;/D&gt;&lt;D xsi:type="xsd:double"&gt;5843.229&lt;/D&gt;&lt;D xsi:type="xsd:string"&gt;@NA&lt;/D&gt;&lt;D xsi:type="xsd:string"&gt;@NA&lt;/D&gt;&lt;/FQL&gt;&lt;FQL&gt;&lt;Q&gt;MOWI-NO^FE_TIMESERIES(COS,MEAN,2016,2026,CY,'BKRACTMED=1,WIN=0,CURRENCY=USD,UNITS=AUTO,CALC=CALA,DATE=NOW')&lt;/Q&gt;&lt;R&gt;11&lt;/R&gt;&lt;C&gt;1&lt;/C&gt;&lt;D xsi:type="xsd:double"&gt;1884.1978&lt;/D&gt;&lt;D xsi:type="xsd:double"&gt;2094.2173&lt;/D&gt;&lt;D xsi:type="xsd:double"&gt;2662.7212&lt;/D&gt;&lt;D xsi:type="xsd:double"&gt;2784.345&lt;/D&gt;&lt;D xsi:type="xsd:double"&gt;2387.443&lt;/D&gt;&lt;D xsi:type="xsd:double"&gt;2654.5369&lt;/D&gt;&lt;D xsi:type="xsd:double"&gt;2605.2532&lt;/D&gt;&lt;D xsi:type="xsd:double"&gt;2744.1528&lt;/D&gt;&lt;D xsi:type="xsd:string"&gt;@NA&lt;/D&gt;&lt;D xsi:type="xsd:string"&gt;@NA&lt;/D&gt;&lt;D xsi:type="xsd:string"&gt;@NA&lt;/D&gt;&lt;/FQL&gt;&lt;FQL&gt;&lt;Q&gt;MOWI-NO^FE_TIMESERIES(ORGANICGROWTH,MEAN,2016,2026,CY,'BKRACTMED=1,WIN=0,CURRENCY=USD,UNITS=AUTO,CALC=CALA,DATE=NOW')&lt;/Q&gt;&lt;R&gt;11&lt;/R&gt;&lt;C&gt;1&lt;/C&gt;&lt;D xsi:type="xsd:string"&gt;@NA&lt;/D&gt;&lt;D xsi:type="xsd:string"&gt;@NA&lt;/D&gt;&lt;D xsi:type="xsd:string"&gt;@NA&lt;/D&gt;&lt;D xsi:type="xsd:double"&gt;-4.2&lt;/D&gt;&lt;D xsi:type="xsd:string"&gt;@NA&lt;/D&gt;&lt;D xsi:type="xsd:double"&gt;76.6&lt;/D&gt;&lt;D xsi:type="xsd:double"&gt;39.8&lt;/D&gt;&lt;D xsi:type="xsd:double"&gt;6.1&lt;/D&gt;&lt;D xsi:type="xsd:string"&gt;@NA&lt;/D&gt;&lt;D xsi:type="xsd:string"&gt;@NA&lt;/D&gt;&lt;D xsi:type="xsd:string"&gt;@NA&lt;/D&gt;&lt;/FQL&gt;&lt;FQL&gt;&lt;Q&gt;MOWI-NO^FE_TIMESERIES(GROSSINCOME,MEAN,2016,2026,CY,'BKRACTMED=1,WIN=0,CURRENCY=USD,UNITS=AUTO,CALC=CALA,DATE=NOW')&lt;/Q&gt;&lt;R&gt;11&lt;/R&gt;&lt;C&gt;1&lt;/C&gt;&lt;D xsi:type="xsd:double"&gt;887.11664&lt;/D&gt;&lt;D xsi:type="xsd:string"&gt;@NA&lt;/D&gt;&lt;D xsi:type="xsd:double"&gt;1640.0737&lt;/D&gt;&lt;D xsi:type="xsd:double"&gt;1722.0338&lt;/D&gt;&lt;D xsi:type="xsd:double"&gt;1494.2727&lt;/D&gt;&lt;D xsi:type="xsd:double"&gt;1748.2465&lt;/D&gt;&lt;D xsi:type="xsd:double"&gt;2118.3176&lt;/D&gt;&lt;D xsi:type="xsd:double"&gt;2059.295&lt;/D&gt;&lt;D xsi:type="xsd:string"&gt;@NA&lt;/D&gt;&lt;D xsi:type="xsd:string"&gt;@NA&lt;/D&gt;&lt;D xsi:type="xsd:string"&gt;@NA&lt;/D&gt;&lt;/FQL&gt;&lt;FQL&gt;&lt;Q&gt;MOWI-NO^FE_TIMESERIES(SGA,MEAN,2016,2026,CY,'BKRACTMED=1,WIN=0,CURRENCY=USD,UNITS=AUTO,CALC=CALA,DATE=NOW')&lt;/Q&gt;&lt;R&gt;11&lt;/R&gt;&lt;C&gt;1&lt;/C&gt;&lt;D xsi:type="xsd:double"&gt;465.234&lt;/D&gt;&lt;D xsi:type="xsd:double"&gt;593.0307&lt;/D&gt;&lt;D xsi:type="xsd:string"&gt;@NA&lt;/D&gt;&lt;D xsi:type="xsd:string"&gt;@NA&lt;/D&gt;&lt;D xsi:type="xsd:double"&gt;677.4521&lt;/D&gt;&lt;D xsi:type="xsd:double"&gt;682.3001&lt;/D&gt;&lt;D xsi:type="xsd:double"&gt;748.4053&lt;/D&gt;&lt;D xsi:type="xsd:double"&gt;766.11206&lt;/D&gt;&lt;D xsi:type="xsd:string"&gt;@NA&lt;/D&gt;&lt;D xsi:type="xsd:string"&gt;@NA&lt;/D&gt;&lt;D xsi:type="xsd:string"&gt;@NA&lt;/D&gt;&lt;/FQL&gt;&lt;FQL&gt;&lt;Q&gt;MOWI-NO^FE_TIMESERIES(G_A_EXP,MEAN,2016,2026,CY,'BKRACTMED=1,WIN=0,CURRENCY=USD,UNITS=AUTO,CALC=CALA,DATE=NOW')&lt;/Q&gt;&lt;R&gt;11&lt;/R&gt;&lt;C&gt;1&lt;/C&gt;&lt;D xsi:type="xsd:string"&gt;@NA&lt;/D&gt;&lt;D xsi:type="xsd:string"&gt;@NA&lt;/D&gt;&lt;D xsi:type="xsd:string"&gt;@NA&lt;/D&gt;&lt;D xsi:type="xsd:double"&gt;614.5062&lt;/D&gt;&lt;D xsi:type="xsd:double"&gt;677.4521&lt;/D&gt;&lt;D xsi:type="xsd:string"&gt;@NA&lt;/D&gt;&lt;D xsi:type="xsd:string"&gt;@NA&lt;/D&gt;&lt;D xsi:type="xsd:string"&gt;@NA&lt;/D&gt;&lt;D xsi:type="xsd:string"&gt;@NA&lt;/D&gt;&lt;D xsi:type="xsd:string"&gt;@NA&lt;/D&gt;&lt;D xsi:type="xsd:string"&gt;@NA&lt;/D&gt;&lt;/FQL&gt;&lt;FQL&gt;&lt;Q&gt;MOWI-NO^FE_TIMESERIES(EBITDA,MEAN,2016,2026,CY,'BKRACTMED=1,WIN=0,CURRENCY=USD,UNITS=AUTO,CALC=CALA,DATE=NOW')&lt;/Q&gt;&lt;R&gt;11&lt;/R&gt;&lt;C&gt;1&lt;/C&gt;&lt;D xsi:type="xsd:double"&gt;891.34607&lt;/D&gt;&lt;D xsi:type="xsd:double"&gt;1169.933&lt;/D&gt;&lt;D xsi:type="xsd:double"&gt;1022.6475&lt;/D&gt;&lt;D xsi:type="xsd:double"&gt;1098.1575&lt;/D&gt;&lt;D xsi:type="xsd:double"&gt;808.3373&lt;/D&gt;&lt;D xsi:type="xsd:double"&gt;1074.7854&lt;/D&gt;&lt;D xsi:type="xsd:double"&gt;1375.9491&lt;/D&gt;&lt;D xsi:type="xsd:double"&gt;1387.1222&lt;/D&gt;&lt;D xsi:type="xsd:double"&gt;1561.6759&lt;/D&gt;&lt;D xsi:type="xsd:string"&gt;@NA&lt;/D&gt;&lt;D xsi:type="xsd:string"&gt;@NA&lt;/D&gt;&lt;/FQL&gt;&lt;FQL&gt;&lt;Q&gt;MOWI-NO^FE_TIMESERIES(EBITDA_ADJ,MEAN,2016,2026,CY,'BKRACTMED=1,WIN=0,CURRENCY=USD,UNITS=AUTO,CALC=CALA,DATE=NOW')&lt;/Q&gt;&lt;R&gt;11&lt;/R&gt;&lt;C&gt;1&lt;/C&gt;&lt;D xsi:type="xsd:double"&gt;891.1346&lt;/D&gt;&lt;D xsi:type="xsd:double"&gt;1169.933&lt;/D&gt;&lt;D xsi:type="xsd:double"&gt;1022.6475&lt;/D&gt;&lt;D xsi:type="xsd:double"&gt;1098.2664&lt;/D&gt;&lt;D xsi:type="xsd:double"&gt;819.2444&lt;/D&gt;&lt;D xsi:type="xsd:double"&gt;1101.3196&lt;/D&gt;&lt;D xsi:type="xsd:double"&gt;1364.7411&lt;/D&gt;&lt;D xsi:type="xsd:double"&gt;1400.8007&lt;/D&gt;&lt;D xsi:type="xsd:string"&gt;@NA&lt;/D&gt;&lt;D xsi:type="xsd:string"&gt;@NA&lt;/D&gt;&lt;D xsi:type="xsd:string"&gt;@NA&lt;/D&gt;&lt;/FQL&gt;&lt;FQL&gt;&lt;Q&gt;MOWI-NO^FE_TIMESERIES(EBITDA_REP,MEAN,2016,2026,CY,'BKRACTMED=1,WIN=0,CURRENCY=USD,UNITS=AUTO,CALC=CALA,DATE=NOW')&lt;/Q&gt;&lt;R&gt;11&lt;/R&gt;&lt;C&gt;1&lt;/C&gt;&lt;D xsi:type="xsd:double"&gt;926.2386&lt;/D&gt;&lt;D xsi:type="xsd:double"&gt;1080.6062&lt;/D&gt;&lt;D xsi:type="xsd:double"&gt;1022.98615&lt;/D&gt;&lt;D xsi:type="xsd:double"&gt;1094.9978&lt;/D&gt;&lt;D xsi:type="xsd:double"&gt;806.2771&lt;/D&gt;&lt;D xsi:type="xsd:double"&gt;1136.8455&lt;/D&gt;&lt;D xsi:type="xsd:double"&gt;1356.3295&lt;/D&gt;&lt;D xsi:type="xsd:double"&gt;1377.5852&lt;/D&gt;&lt;D xsi:type="xsd:string"&gt;@NA&lt;/D&gt;&lt;D xsi:type="xsd:string"&gt;@NA&lt;/D&gt;&lt;D xsi:type="xsd:string"&gt;@NA&lt;/D&gt;&lt;/FQL&gt;&lt;FQL&gt;&lt;Q&gt;MOWI-NO^FE_TIMESERIES(DEPR_AMORT,MEAN,2016,2026,CY,'BKRACTMED=1,WIN=0,CURRENCY=USD,UNITS=AUTO,CALC=CALA,DATE=NOW')&lt;/Q&gt;&lt;R&gt;11&lt;/R&gt;&lt;C&gt;1&lt;/C&gt;&lt;D xsi:type="xsd:double"&gt;150.1437&lt;/D&gt;&lt;D xsi:type="xsd:double"&gt;186.0975&lt;/D&gt;&lt;D xsi:type="xsd:double"&gt;172.69875&lt;/D&gt;&lt;D xsi:type="xsd:double"&gt;312.70084&lt;/D&gt;&lt;D xsi:type="xsd:double"&gt;409.6222&lt;/D&gt;&lt;D xsi:type="xsd:double"&gt;441.15384&lt;/D&gt;&lt;D xsi:type="xsd:double"&gt;435.50735&lt;/D&gt;&lt;D xsi:type="xsd:double"&gt;434.61807&lt;/D&gt;&lt;D xsi:type="xsd:string"&gt;@NA&lt;/D&gt;&lt;D xsi:type="xsd:string"&gt;@NA&lt;/D&gt;&lt;D xsi:type="xsd:string"&gt;@NA&lt;/D&gt;&lt;/FQL&gt;&lt;FQL&gt;&lt;Q&gt;MOWI-NO^FE_TIMESERIES(EBIT,MEAN,2016,2026,CY,'BKRACTMED=1,WIN=0,CURRENCY=USD,UNITS=AUTO,CALC=CALA,DATE=NOW')&lt;/Q&gt;&lt;R&gt;11&lt;/R&gt;&lt;C&gt;1&lt;/C&gt;&lt;D xsi:type="xsd:double"&gt;740.145&lt;/D&gt;&lt;D xsi:type="xsd:double"&gt;983.83545&lt;/D&gt;&lt;D xsi:type="xsd:double"&gt;849.723&lt;/D&gt;&lt;D xsi:type="xsd:double"&gt;785.56555&lt;/D&gt;&lt;D xsi:type="xsd:double"&gt;409.6222&lt;/D&gt;&lt;D xsi:type="xsd:double"&gt;691.47595&lt;/D&gt;&lt;D xsi:type="xsd:double"&gt;975.19116&lt;/D&gt;&lt;D xsi:type="xsd:double"&gt;1001.2961&lt;/D&gt;&lt;D xsi:type="xsd:double"&gt;1090.2042&lt;/D&gt;&lt;D xsi:type="xsd:string"&gt;@NA&lt;/D&gt;&lt;D xsi:type="xsd:string"&gt;@NA&lt;/D&gt;&lt;/FQL&gt;&lt;FQL&gt;&lt;Q&gt;MOWI-NO^FE_TIMESERIES(EBITA,MEAN,2016,2026,CY,'BKRACTMED=1,WIN=0,CURRENCY=USD,UNITS=AUTO,CALC=CALA,DATE=NOW')&lt;/Q&gt;&lt;R&gt;11&lt;/R&gt;&lt;C&gt;1&lt;/C&gt;&lt;D xsi:type="xsd:double"&gt;738.13605&lt;/D&gt;&lt;D xsi:type="xsd:double"&gt;973.9103&lt;/D&gt;&lt;D xsi:type="xsd:double"&gt;849.9487&lt;/D&gt;&lt;D xsi:type="xsd:double"&gt;785.51105&lt;/D&gt;&lt;D xsi:type="xsd:double"&gt;403.98688&lt;/D&gt;&lt;D xsi:type="xsd:double"&gt;704.49255&lt;/D&gt;&lt;D xsi:type="xsd:double"&gt;966.31635&lt;/D&gt;&lt;D xsi:type="xsd:double"&gt;982.84265&lt;/D&gt;&lt;D xsi:type="xsd:string"&gt;@NA&lt;/D&gt;&lt;D xsi:type="xsd:string"&gt;@NA&lt;/D&gt;&lt;D xsi:type="xsd:string"&gt;@NA&lt;/D&gt;&lt;/FQL&gt;&lt;FQL&gt;&lt;Q&gt;MOWI-NO^FE_TIMESERIES(EBIT_ADJ,MEAN,2016,2026,CY,'BKRACTMED=1,WIN=0,CURRENCY=USD,UNITS=AUTO,CALC=CALA,DATE=NOW')&lt;/Q&gt;&lt;R&gt;11&lt;/R&gt;&lt;C&gt;1&lt;/C&gt;&lt;D xsi:type="xsd:double"&gt;740.145&lt;/D&gt;&lt;D xsi:type="xsd:double"&gt;983.83545&lt;/D&gt;&lt;D xsi:type="xsd:double"&gt;849.723&lt;/D&gt;&lt;D xsi:type="xsd:double"&gt;785.56555&lt;/D&gt;&lt;D xsi:type="xsd:double"&gt;409.6222&lt;/D&gt;&lt;D xsi:type="xsd:double"&gt;686.1554&lt;/D&gt;&lt;D xsi:type="xsd:double"&gt;955.6414&lt;/D&gt;&lt;D xsi:type="xsd:double"&gt;996.6933&lt;/D&gt;&lt;D xsi:type="xsd:string"&gt;@NA&lt;/D&gt;&lt;D xsi:type="xsd:string"&gt;@NA&lt;/D&gt;&lt;D xsi:type="xsd:string"&gt;@NA&lt;/D&gt;&lt;/FQL&gt;&lt;FQL&gt;&lt;Q&gt;MOWI-NO^FE_TIMESERIES(EBITR,MEAN,2016,2026,CY,'BKRACTMED=1,WIN=0,CURRENCY=USD,UNITS=AUTO,CALC=CALA,DATE=NOW')&lt;/Q&gt;&lt;R&gt;11&lt;/R&gt;&lt;C&gt;1&lt;/C&gt;&lt;D xsi:type="xsd:double"&gt;1047.8339&lt;/D&gt;&lt;D xsi:type="xsd:double"&gt;601.7153&lt;/D&gt;&lt;D xsi:type="xsd:double"&gt;1044.5453&lt;/D&gt;&lt;D xsi:type="xsd:double"&gt;672.2524&lt;/D&gt;&lt;D xsi:type="xsd:double"&gt;222.9896&lt;/D&gt;&lt;D xsi:type="xsd:double"&gt;856.25824&lt;/D&gt;&lt;D xsi:type="xsd:double"&gt;982.57043&lt;/D&gt;&lt;D xsi:type="xsd:double"&gt;1017.7446&lt;/D&gt;&lt;D xsi:type="xsd:string"&gt;@NA&lt;/D&gt;&lt;D xsi:type="xsd:string"&gt;@NA&lt;/D&gt;&lt;D xsi:type="xsd:string"&gt;@NA&lt;/D&gt;&lt;/FQL&gt;&lt;FQL&gt;&lt;Q&gt;MOWI-NO^FE_TIMESERIES(INTEXP,MEAN,2016,2026,CY,'BKRACTMED=1,WIN=0,CURRENCY=USD,UNITS=AUTO,CALC=CALA,DATE=NOW')&lt;/Q&gt;&lt;R&gt;11&lt;/R&gt;&lt;C&gt;1&lt;/C&gt;&lt;D xsi:type="xsd:double"&gt;50.96427&lt;/D&gt;&lt;D xsi:type="xsd:double"&gt;58.31055&lt;/D&gt;&lt;D xsi:type="xsd:string"&gt;@NA&lt;/D&gt;&lt;D xsi:type="xsd:double"&gt;76.2685&lt;/D&gt;&lt;D xsi:type="xsd:double"&gt;76.3497&lt;/D&gt;&lt;D xsi:type="xsd:double"&gt;57.84205&lt;/D&gt;&lt;D xsi:type="xsd:double"&gt;82.6315&lt;/D&gt;&lt;D xsi:type="xsd:string"&gt;@NA&lt;/D&gt;&lt;D xsi:type="xsd:string"&gt;@NA&lt;/D&gt;&lt;D xsi:type="xsd:string"&gt;@NA&lt;/D&gt;&lt;D xsi:type="xsd:string"&gt;@NA&lt;/D&gt;&lt;/FQL&gt;&lt;FQL&gt;&lt;Q&gt;MOWI-NO^FE_TIMESERIES(PTP,MEAN,2016,2026,CY,'BKRACTMED=1,WIN=0,CURRENCY=USD,UNITS=AUTO,CALC=CALA,DATE=NOW')&lt;/Q&gt;&lt;R&gt;11&lt;/R&gt;&lt;C&gt;1&lt;/C&gt;&lt;D xsi:type="xsd:double"&gt;802.5286&lt;/D&gt;&lt;D xsi:type="xsd:double"&gt;642.6567&lt;/D&gt;&lt;D xsi:type="xsd:double"&gt;826.245&lt;/D&gt;&lt;D xsi:type="xsd:double"&gt;661.3569&lt;/D&gt;&lt;D xsi:type="xsd:double"&gt;146.6399&lt;/D&gt;&lt;D xsi:type="xsd:double"&gt;916.40027&lt;/D&gt;&lt;D xsi:type="xsd:double"&gt;968.85394&lt;/D&gt;&lt;D xsi:type="xsd:double"&gt;979.94214&lt;/D&gt;&lt;D xsi:type="xsd:double"&gt;1051.3262&lt;/D&gt;&lt;D xsi:type="xsd:string"&gt;@NA&lt;/D&gt;&lt;D xsi:type="xsd:string"&gt;@NA&lt;/D&gt;&lt;/FQL&gt;&lt;FQL&gt;&lt;Q&gt;MOWI-NO^FE_TIMESERIES(PTPA,MEAN,2016,2026,CY,'BKRACTMED=1,WIN=0,CURRENCY=USD,UNITS=AUTO,CALC=CALA,DATE=NOW')&lt;/Q&gt;&lt;R&gt;11&lt;/R&gt;&lt;C&gt;1&lt;/C&gt;&lt;D xsi:type="xsd:double"&gt;736.4443&lt;/D&gt;&lt;D xsi:type="xsd:double"&gt;974.2825&lt;/D&gt;&lt;D xsi:type="xsd:double"&gt;835.44434&lt;/D&gt;&lt;D xsi:type="xsd:double"&gt;761.59546&lt;/D&gt;&lt;D xsi:type="xsd:double"&gt;358.35883&lt;/D&gt;&lt;D xsi:type="xsd:double"&gt;776.5571&lt;/D&gt;&lt;D xsi:type="xsd:double"&gt;1004.4941&lt;/D&gt;&lt;D xsi:type="xsd:double"&gt;1036.8286&lt;/D&gt;&lt;D xsi:type="xsd:string"&gt;@NA&lt;/D&gt;&lt;D xsi:type="xsd:string"&gt;@NA&lt;/D&gt;&lt;D xsi:type="xsd:string"&gt;@NA&lt;/D&gt;&lt;/FQL&gt;&lt;FQL&gt;&lt;Q&gt;MOWI-NO^FE_TIMESERIES(PTPBG,MEAN,2016,2026,CY,'BKRACTMED=1,WIN=0,CURRENCY=USD,UNITS=AUTO,CALC=CALA,DATE=NOW')&lt;/Q&gt;&lt;R&gt;11&lt;/R&gt;&lt;C&gt;1&lt;/C&gt;&lt;D xsi:type="xsd:double"&gt;802.5286&lt;/D&gt;&lt;D xsi:type="xsd:double"&gt;642.6567&lt;/D&gt;&lt;D xsi:type="xsd:double"&gt;826.245&lt;/D&gt;&lt;D xsi:type="xsd:double"&gt;661.3569&lt;/D&gt;&lt;D xsi:type="xsd:double"&gt;146.6399&lt;/D&gt;&lt;D xsi:type="xsd:double"&gt;906.7946&lt;/D&gt;&lt;D xsi:type="xsd:double"&gt;932.2101&lt;/D&gt;&lt;D xsi:type="xsd:double"&gt;979.94214&lt;/D&gt;&lt;D xsi:type="xsd:double"&gt;1051.3262&lt;/D&gt;&lt;D xsi:type="xsd:string"&gt;@NA&lt;/D&gt;&lt;D xsi:type="xsd:string"&gt;@NA&lt;/D&gt;&lt;/FQL&gt;&lt;FQL&gt;&lt;Q&gt;MOWI-NO^FE_TIMESERIES(TAX_EXPENSE,MEAN,2016,2026,CY,'BKRACTMED=1,WIN=0,CURRENCY=USD,UNITS=AUTO,CALC=CALA,DATE=NOW')&lt;/Q&gt;&lt;R&gt;11&lt;/R&gt;&lt;C&gt;1&lt;/C&gt;&lt;D xsi:type="xsd:double"&gt;232.617&lt;/D&gt;&lt;D xsi:type="xsd:double"&gt;74.439&lt;/D&gt;&lt;D xsi:type="xsd:double"&gt;186.24374&lt;/D&gt;&lt;D xsi:type="xsd:double"&gt;142.73105&lt;/D&gt;&lt;D xsi:type="xsd:double"&gt;1.2119&lt;/D&gt;&lt;D xsi:type="xsd:double"&gt;187.7063&lt;/D&gt;&lt;D xsi:type="xsd:double"&gt;211.49237&lt;/D&gt;&lt;D xsi:type="xsd:double"&gt;219.47939&lt;/D&gt;&lt;D xsi:type="xsd:string"&gt;@NA&lt;/D&gt;&lt;D xsi:type="xsd:string"&gt;@NA&lt;/D&gt;&lt;D xsi:type="xsd:string"&gt;@NA&lt;/D&gt;&lt;/FQL&gt;&lt;FQL&gt;&lt;Q&gt;MOWI-NO^FE_TIMESERIES(NETPROFIT,MEAN,2016,2026,CY,'BKRACTMED=1,WIN=0,CURRENCY=USD,UNITS=AUTO,CALC=CALA,DATE=NOW')&lt;/Q&gt;&lt;R&gt;11&lt;/R&gt;&lt;C&gt;1&lt;/C&gt;&lt;D xsi:type="xsd:double"&gt;570.2236&lt;/D&gt;&lt;D xsi:type="xsd:double"&gt;567.90753&lt;/D&gt;&lt;D xsi:type="xsd:double"&gt;639.2111&lt;/D&gt;&lt;D xsi:type="xsd:double"&gt;519.71533&lt;/D&gt;&lt;D xsi:type="xsd:double"&gt;144.3373&lt;/D&gt;&lt;D xsi:type="xsd:double"&gt;722.8113&lt;/D&gt;&lt;D xsi:type="xsd:double"&gt;763.9885&lt;/D&gt;&lt;D xsi:type="xsd:double"&gt;755.22424&lt;/D&gt;&lt;D xsi:type="xsd:double"&gt;809.5211&lt;/D&gt;&lt;D xsi:type="xsd:string"&gt;@NA&lt;/D&gt;&lt;D xsi:type="xsd:string"&gt;@NA&lt;/D&gt;&lt;/FQL&gt;&lt;FQL&gt;&lt;Q&gt;MOWI-NO^FE_TIMESERIES(NETBG,MEAN,2016,2026,CY,'BKRACTMED=1,WIN=0,CURRENCY=USD,UNITS=AUTO,CALC=CALA,DATE=NOW')&lt;/Q&gt;&lt;R&gt;11&lt;/R&gt;&lt;C&gt;1&lt;/C&gt;&lt;D xsi:type="xsd:double"&gt;534.7653&lt;/D&gt;&lt;D xsi:type="xsd:double"&gt;737.65576&lt;/D&gt;&lt;D xsi:type="xsd:double"&gt;648.63617&lt;/D&gt;&lt;D xsi:type="xsd:double"&gt;575.2824&lt;/D&gt;&lt;D xsi:type="xsd:double"&gt;307.33783&lt;/D&gt;&lt;D xsi:type="xsd:double"&gt;545.25146&lt;/D&gt;&lt;D xsi:type="xsd:double"&gt;732.4521&lt;/D&gt;&lt;D xsi:type="xsd:double"&gt;755.80457&lt;/D&gt;&lt;D xsi:type="xsd:double"&gt;809.5211&lt;/D&gt;&lt;D xsi:type="xsd:string"&gt;@NA&lt;/D&gt;&lt;D xsi:type="xsd:string"&gt;@NA&lt;/D&gt;&lt;/FQL&gt;&lt;FQL&gt;&lt;Q&gt;MOWI-NO^FE_TIMESERIES(BFNG,MEAN,2016,2026,CY,'BKRACTMED=1,WIN=0,CURRENCY=USD,UNITS=AUTO,CALC=CALA,DATE=NOW')&lt;/Q&gt;&lt;R&gt;11&lt;/R&gt;&lt;C&gt;1&lt;/C&gt;&lt;D xsi:type="xsd:double"&gt;570.1231&lt;/D&gt;&lt;D xsi:type="xsd:double"&gt;567.90753&lt;/D&gt;&lt;D xsi:type="xsd:double"&gt;639.2111&lt;/D&gt;&lt;D xsi:type="xsd:double"&gt;519.71533&lt;/D&gt;&lt;D xsi:type="xsd:double"&gt;144.3373&lt;/D&gt;&lt;D xsi:type="xsd:double"&gt;722.8113&lt;/D&gt;&lt;D xsi:type="xsd:double"&gt;763.9885&lt;/D&gt;&lt;D xsi:type="xsd:double"&gt;755.22424&lt;/D&gt;&lt;D xsi:type="xsd:double"&gt;809.5211&lt;/D&gt;&lt;D xsi:type="xsd:string"&gt;@NA&lt;/D&gt;&lt;D xsi:type="xsd:string"&gt;@NA&lt;/D&gt;&lt;/FQL&gt;&lt;FQL&gt;&lt;Q&gt;MOWI-NO^FE_TIMESERIES(CURRENTASSETS,MEAN,2016,2026,CY,'BKRACTMED=1,WIN=0,CURRENCY=USD,UNITS=AUTO,CALC=CALA,DATE=NOW')&lt;/Q&gt;&lt;R&gt;11&lt;/R&gt;&lt;C&gt;1&lt;/C&gt;&lt;D xsi:type="xsd:double"&gt;2700.472&lt;/D&gt;&lt;D xsi:type="xsd:double"&gt;2683.526&lt;/D&gt;&lt;D xsi:type="xsd:double"&gt;2920.0762&lt;/D&gt;&lt;D xsi:type="xsd:double"&gt;2865.5166&lt;/D&gt;&lt;D xsi:type="xsd:double"&gt;2967.943&lt;/D&gt;&lt;D xsi:type="xsd:double"&gt;3089.7097&lt;/D&gt;&lt;D xsi:type="xsd:double"&gt;3391.669&lt;/D&gt;&lt;D xsi:type="xsd:double"&gt;3625.457&lt;/D&gt;&lt;D xsi:type="xsd:string"&gt;@NA&lt;/D&gt;&lt;D xsi:type="xsd:string"&gt;@NA&lt;/D&gt;&lt;D xsi:type="xsd:string"&gt;@NA&lt;/D&gt;&lt;/FQL&gt;&lt;FQL&gt;&lt;Q&gt;MOWI-NO^FE_TIMESERIES(CURRENTLIABILITIES,MEAN,2016,2026,CY,'BKRACTMED=1,WIN=0,CURRENCY=USD,UNITS=AUTO,CALC=CALA,DATE=NOW')&lt;/Q&gt;&lt;R&gt;11&lt;/R&gt;&lt;C&gt;1&lt;/C&gt;&lt;D xsi:type="xsd:double"&gt;891.34607&lt;/D&gt;&lt;D xsi:type="xsd:double"&gt;992.52&lt;/D&gt;&lt;D xsi:type="xsd:double"&gt;788.9963&lt;/D&gt;&lt;D xsi:type="xsd:double"&gt;845.4908&lt;/D&gt;&lt;D xsi:type="xsd:double"&gt;872.568&lt;/D&gt;&lt;D xsi:type="xsd:double"&gt;1075.1538&lt;/D&gt;&lt;D xsi:type="xsd:double"&gt;1060.9884&lt;/D&gt;&lt;D xsi:type="xsd:double"&gt;907.17584&lt;/D&gt;&lt;D xsi:type="xsd:string"&gt;@NA&lt;/D&gt;&lt;D xsi:type="xsd:string"&gt;@NA&lt;/D&gt;&lt;D xsi:type="xsd:string"&gt;@NA&lt;/D&gt;&lt;/FQL&gt;&lt;FQL&gt;&lt;Q&gt;MOWI-NO^FE_TIMESERIES(TOTASSET,MEAN,2016,2026,CY,'BKRACTMED=1,WIN=0,CURRENCY=USD,UNITS=AUTO,CALC=CALA,DATE=NOW')&lt;/Q&gt;&lt;R&gt;11&lt;/R&gt;&lt;C&gt;1&lt;/C&gt;&lt;D xsi:type="xsd:double"&gt;5078.981&lt;/D&gt;&lt;D xsi:type="xsd:double"&gt;5372.0146&lt;/D&gt;&lt;D xsi:type="xsd:double"&gt;5807.419&lt;/D&gt;&lt;D xsi:type="xsd:double"&gt;6362.972&lt;/D&gt;&lt;D xsi:type="xsd:double"&gt;7084.7676&lt;/D&gt;&lt;D xsi:type="xsd:double"&gt;7208.671&lt;/D&gt;&lt;D xsi:type="xsd:double"&gt;7501.254&lt;/D&gt;&lt;D xsi:type="xsd:double"&gt;7770.115&lt;/D&gt;&lt;D xsi:type="xsd:string"&gt;@NA&lt;/D&gt;&lt;D xsi:type="xsd:string"&gt;@NA&lt;/D&gt;&lt;D xsi:type="xsd:string"&gt;@NA&lt;/D&gt;&lt;/FQL&gt;&lt;FQL&gt;&lt;Q&gt;MOWI-NO^FE_TIMESERIES(DEBT_ST,MEAN,2016,2026,CY,'BKRACTMED=1,WIN=0,CURRENCY=USD,UNITS=AUTO,CALC=CALA,DATE=NOW')&lt;/Q&gt;&lt;R&gt;11&lt;/R&gt;&lt;C&gt;1&lt;/C&gt;&lt;D xsi:type="xsd:string"&gt;@NA&lt;/D&gt;&lt;D xsi:type="xsd:double"&gt;161.2845&lt;/D&gt;&lt;D xsi:type="xsd:double"&gt;0&lt;/D&gt;&lt;D xsi:type="xsd:double"&gt;69.186424&lt;/D&gt;&lt;D xsi:type="xsd:double"&gt;0&lt;/D&gt;&lt;D xsi:type="xsd:double"&gt;45.152214&lt;/D&gt;&lt;D xsi:type="xsd:double"&gt;207.46408&lt;/D&gt;&lt;D xsi:type="xsd:double"&gt;45.152214&lt;/D&gt;&lt;D xsi:type="xsd:string"&gt;@NA&lt;/D&gt;&lt;D xsi:type="xsd:string"&gt;@NA&lt;/D&gt;&lt;D xsi:type="xsd:string"&gt;@NA&lt;/D&gt;&lt;/FQL&gt;&lt;FQL&gt;&lt;Q&gt;MOWI-NO^FE_TIMESERIES(DEBT_LT,MEAN,2016,2026,CY,'BKRACTMED=1,WIN=0,CURRENCY=USD,UNITS=AUTO,CALC=CALA,DATE=NOW')&lt;/Q&gt;&lt;R&gt;11&lt;/R&gt;&lt;C&gt;1&lt;/C&gt;&lt;D xsi:type="xsd:string"&gt;@NA&lt;/D&gt;&lt;D xsi:type="xsd:double"&gt;959.02246&lt;/D&gt;&lt;D xsi:type="xsd:double"&gt;1290.1613&lt;/D&gt;&lt;D xsi:type="xsd:double"&gt;1597.2803&lt;/D&gt;&lt;D xsi:type="xsd:double"&gt;1897.8354&lt;/D&gt;&lt;D xsi:type="xsd:double"&gt;1739.7865&lt;/D&gt;&lt;D xsi:type="xsd:double"&gt;1886.1624&lt;/D&gt;&lt;D xsi:type="xsd:double"&gt;2034.899&lt;/D&gt;&lt;D xsi:type="xsd:string"&gt;@NA&lt;/D&gt;&lt;D xsi:type="xsd:string"&gt;@NA&lt;/D&gt;&lt;D xsi:type="xsd:string"&gt;@NA&lt;/D&gt;&lt;/FQL&gt;&lt;FQL&gt;&lt;Q&gt;MOWI-NO^FE_TIMESERIES(TOTALDEBT,MEAN,2016,2026,CY,'BKRACTMED=1,WIN=0,CURRENCY=USD,UNITS=AUTO,CALC=CALA,DATE=NOW')&lt;/Q&gt;&lt;R&gt;11&lt;/R&gt;&lt;C&gt;1&lt;/C&gt;&lt;D xsi:type="xsd:double"&gt;1051.0059&lt;/D&gt;&lt;D xsi:type="xsd:double"&gt;1120.307&lt;/D&gt;&lt;D xsi:type="xsd:double"&gt;1290.1613&lt;/D&gt;&lt;D xsi:type="xsd:double"&gt;1597.2803&lt;/D&gt;&lt;D xsi:type="xsd:double"&gt;2220.8066&lt;/D&gt;&lt;D xsi:type="xsd:double"&gt;2029.7838&lt;/D&gt;&lt;D xsi:type="xsd:double"&gt;2059.295&lt;/D&gt;&lt;D xsi:type="xsd:double"&gt;2403.3962&lt;/D&gt;&lt;D xsi:type="xsd:string"&gt;@NA&lt;/D&gt;&lt;D xsi:type="xsd:string"&gt;@NA&lt;/D&gt;&lt;D xsi:type="xsd:string"&gt;@NA&lt;/D&gt;&lt;/FQL&gt;&lt;FQL&gt;&lt;Q&gt;MOWI-NO^FE_TIMESERIES(INTANG,MEAN,2016,2026,CY,'BKRACTMED=1,WIN=0,CURRENCY=USD,UNITS=AUTO,CALC=CALA,DATE=NOW')&lt;/Q&gt;&lt;R&gt;11&lt;/R&gt;&lt;C&gt;1&lt;/C&gt;&lt;D xsi:type="xsd:double"&gt;1091.1852&lt;/D&gt;&lt;D xsi:type="xsd:double"&gt;795.25665&lt;/D&gt;&lt;D xsi:type="xsd:double"&gt;912.03&lt;/D&gt;&lt;D xsi:type="xsd:double"&gt;948.45325&lt;/D&gt;&lt;D xsi:type="xsd:double"&gt;1072.5315&lt;/D&gt;&lt;D xsi:type="xsd:double"&gt;1092.3097&lt;/D&gt;&lt;D xsi:type="xsd:double"&gt;1092.3097&lt;/D&gt;&lt;D xsi:type="xsd:double"&gt;1092.3097&lt;/D&gt;&lt;D xsi:type="xsd:string"&gt;@NA&lt;/D&gt;&lt;D xsi:type="xsd:string"&gt;@NA&lt;/D&gt;&lt;D xsi:type="xsd:string"&gt;@NA&lt;/D&gt;&lt;/FQL&gt;&lt;FQL&gt;&lt;Q&gt;MOWI-NO^FE_TIMESERIES(TOTGW,MEAN,2016,2026,CY,'BKRACTMED=1,WIN=0,CURRENCY=USD,UNITS=AUTO,CALC=CALA,DATE=NOW')&lt;/Q&gt;&lt;R&gt;11&lt;/R&gt;&lt;C&gt;1&lt;/C&gt;&lt;D xsi:type="xsd:double"&gt;283.3698&lt;/D&gt;&lt;D xsi:type="xsd:double"&gt;317.6064&lt;/D&gt;&lt;D xsi:type="xsd:double"&gt;326.20874&lt;/D&gt;&lt;D xsi:type="xsd:double"&gt;346.4769&lt;/D&gt;&lt;D xsi:type="xsd:double"&gt;379.3247&lt;/D&gt;&lt;D xsi:type="xsd:double"&gt;278.5862&lt;/D&gt;&lt;D xsi:type="xsd:double"&gt;278.5862&lt;/D&gt;&lt;D xsi:type="xsd:double"&gt;278.5862&lt;/D&gt;&lt;D xsi:type="xsd:string"&gt;@NA&lt;/D&gt;&lt;D xsi:type="xsd:string"&gt;@NA&lt;/D&gt;&lt;D xsi:type="xsd:string"&gt;@NA&lt;/D&gt;&lt;/FQL&gt;&lt;FQL&gt;&lt;Q&gt;MOWI-NO^FE_TIMESERIES(NETDEBT,MEAN,2016,2026,CY,'BKRACTMED=1,WIN=0,CURRENCY=USD,UNITS=AUTO,CALC=CALA,DATE=NOW')&lt;/Q&gt;&lt;R&gt;11&lt;/R&gt;&lt;C&gt;1&lt;/C&gt;&lt;D xsi:type="xsd:double"&gt;941.0415&lt;/D&gt;&lt;D xsi:type="xsd:double"&gt;1032.2208&lt;/D&gt;&lt;D xsi:type="xsd:double"&gt;1170.5138&lt;/D&gt;&lt;D xsi:type="xsd:double"&gt;1597.8251&lt;/D&gt;&lt;D xsi:type="xsd:double"&gt;1766.9502&lt;/D&gt;&lt;D xsi:type="xsd:double"&gt;1869.4254&lt;/D&gt;&lt;D xsi:type="xsd:double"&gt;1722.9078&lt;/D&gt;&lt;D xsi:type="xsd:double"&gt;1767.471&lt;/D&gt;&lt;D xsi:type="xsd:double"&gt;1494.5564&lt;/D&gt;&lt;D xsi:type="xsd:string"&gt;@NA&lt;/D&gt;&lt;D xsi:type="xsd:string"&gt;@NA&lt;/D&gt;&lt;/FQL&gt;&lt;FQL&gt;&lt;Q&gt;MOWI-NO^FE_TIMESERIES(WKCAP,MEAN,2016,2026,CY,'BKRACTMED=1,WIN=0,CURRENCY=USD,UNITS=AUTO,CALC=CALA,DATE=NOW')&lt;/Q&gt;&lt;R&gt;11&lt;/R&gt;&lt;C&gt;1&lt;/C&gt;&lt;D xsi:type="xsd:string"&gt;@NA&lt;/D&gt;&lt;D xsi:type="xsd:double"&gt;1883.3066&lt;/D&gt;&lt;D xsi:type="xsd:double"&gt;2012.5613&lt;/D&gt;&lt;D xsi:type="xsd:double"&gt;2017.8466&lt;/D&gt;&lt;D xsi:type="xsd:double"&gt;2151.1226&lt;/D&gt;&lt;D xsi:type="xsd:double"&gt;2301.8774&lt;/D&gt;&lt;D xsi:type="xsd:double"&gt;2444.712&lt;/D&gt;&lt;D xsi:type="xsd:double"&gt;2409.2983&lt;/D&gt;&lt;D xsi:type="xsd:string"&gt;@NA&lt;/D&gt;&lt;D xsi:type="xsd:string"&gt;@NA&lt;/D&gt;&lt;D xsi:type="xsd:string"&gt;@NA&lt;/D&gt;&lt;/FQL&gt;&lt;FQL&gt;&lt;Q&gt;MOWI-NO^FE_TIMESERIES(MINTEREST,MEAN,2016,2026,CY,'BKRACTMED=1,WIN=0,CURRENCY=USD,UNITS=AUTO,CALC=CALA,DATE=NOW')&lt;/Q&gt;&lt;R&gt;11&lt;/R&gt;&lt;C&gt;1&lt;/C&gt;&lt;D xsi:type="xsd:double"&gt;1.05735&lt;/D&gt;&lt;D xsi:type="xsd:double"&gt;1.24065&lt;/D&gt;&lt;D xsi:type="xsd:double"&gt;2.2575&lt;/D&gt;&lt;D xsi:type="xsd:double"&gt;0&lt;/D&gt;&lt;D xsi:type="xsd:double"&gt;2.4238&lt;/D&gt;&lt;D xsi:type="xsd:double"&gt;2.3609&lt;/D&gt;&lt;D xsi:type="xsd:double"&gt;2.6981714&lt;/D&gt;&lt;D xsi:type="xsd:double"&gt;2.951125&lt;/D&gt;&lt;D xsi:type="xsd:string"&gt;@NA&lt;/D&gt;&lt;D xsi:type="xsd:string"&gt;@NA&lt;/D&gt;&lt;D xsi:type="xsd:string"&gt;@NA&lt;/D&gt;&lt;/FQL&gt;&lt;FQL&gt;&lt;Q&gt;MOWI-NO^FE_TIMESERIES(SHEQUITY,MEAN,2016,2026,CY,'BKRACTMED=1,WIN=0,CURRENCY=USD,UNITS=AUTO,CALC=CALA,DATE=NOW')&lt;/Q&gt;&lt;R&gt;11&lt;/R&gt;&lt;C&gt;1&lt;/C&gt;&lt;D xsi:type="xsd:double"&gt;2180.2556&lt;/D&gt;&lt;D xsi:type="xsd:double"&gt;2870.864&lt;/D&gt;&lt;D xsi:type="xsd:double"&gt;3247.4138&lt;/D&gt;&lt;D xsi:type="xsd:double"&gt;3150.9785&lt;/D&gt;&lt;D xsi:type="xsd:double"&gt;3347.2678&lt;/D&gt;&lt;D xsi:type="xsd:double"&gt;3719.1553&lt;/D&gt;&lt;D xsi:type="xsd:double"&gt;3951.999&lt;/D&gt;&lt;D xsi:type="xsd:double"&gt;4233.431&lt;/D&gt;&lt;D xsi:type="xsd:string"&gt;@NA&lt;/D&gt;&lt;D xsi:type="xsd:string"&gt;@NA&lt;/D&gt;&lt;D xsi:type="xsd:string"&gt;@NA&lt;/D&gt;&lt;/FQL&gt;&lt;FQL&gt;&lt;Q&gt;MOWI-NO^FE_TIMESERIES(CAPEX,MEAN,2016,2026,CY,'BKRACTMED=1,WIN=0,CURRENCY=USD,UNITS=AUTO,CALC=CALA,DATE=NOW')&lt;/Q&gt;&lt;R&gt;11&lt;/R&gt;&lt;C&gt;1&lt;/C&gt;&lt;D xsi:type="xsd:double"&gt;223.73526&lt;/D&gt;&lt;D xsi:type="xsd:double"&gt;316.36575&lt;/D&gt;&lt;D xsi:type="xsd:double"&gt;390.5475&lt;/D&gt;&lt;D xsi:type="xsd:double"&gt;319.23816&lt;/D&gt;&lt;D xsi:type="xsd:double"&gt;382.9604&lt;/D&gt;&lt;D xsi:type="xsd:double"&gt;296.18967&lt;/D&gt;&lt;D xsi:type="xsd:double"&gt;310.75345&lt;/D&gt;&lt;D xsi:type="xsd:double"&gt;325.5951&lt;/D&gt;&lt;D xsi:type="xsd:string"&gt;@NA&lt;/D&gt;&lt;D xsi:type="xsd:string"&gt;@NA&lt;/D&gt;&lt;D xsi:type="xsd:string"&gt;@NA&lt;/D&gt;&lt;/FQL&gt;&lt;FQL&gt;&lt;Q&gt;MOWI-NO^FE_TIMESERIES(FCF,MEAN,2016,2026,CY,'BKRACTMED=1,WIN=0,CURRENCY=USD,UNITS=AUTO,CALC=CALA,DATE=NOW')&lt;/Q&gt;&lt;R&gt;11&lt;/R&gt;&lt;C&gt;1&lt;/C&gt;&lt;D xsi:type="xsd:double"&gt;592.116&lt;/D&gt;&lt;D xsi:type="xsd:double"&gt;483.2332&lt;/D&gt;&lt;D xsi:type="xsd:double"&gt;36.12&lt;/D&gt;&lt;D xsi:type="xsd:double"&gt;323.59634&lt;/D&gt;&lt;D xsi:type="xsd:double"&gt;135.00566&lt;/D&gt;&lt;D xsi:type="xsd:double"&gt;549.9042&lt;/D&gt;&lt;D xsi:type="xsd:double"&gt;572.1304&lt;/D&gt;&lt;D xsi:type="xsd:double"&gt;690.5042&lt;/D&gt;&lt;D xsi:type="xsd:string"&gt;@NA&lt;/D&gt;&lt;D xsi:type="xsd:string"&gt;@NA&lt;/D&gt;&lt;D xsi:type="xsd:string"&gt;@NA&lt;/D&gt;&lt;/FQL&gt;&lt;FQL&gt;&lt;Q&gt;MOWI-NO^FE_TIMESERIES(CFO,MEAN,2016,2026,CY,'BKRACTMED=1,WIN=0,CURRENCY=USD,UNITS=AUTO,CALC=CALA,DATE=NOW')&lt;/Q&gt;&lt;R&gt;11&lt;/R&gt;&lt;C&gt;1&lt;/C&gt;&lt;D xsi:type="xsd:double"&gt;732.7435&lt;/D&gt;&lt;D xsi:type="xsd:double"&gt;784.0908&lt;/D&gt;&lt;D xsi:type="xsd:double"&gt;671.60626&lt;/D&gt;&lt;D xsi:type="xsd:double"&gt;826.69604&lt;/D&gt;&lt;D xsi:type="xsd:double"&gt;609.5857&lt;/D&gt;&lt;D xsi:type="xsd:double"&gt;864.3761&lt;/D&gt;&lt;D xsi:type="xsd:double"&gt;947.00757&lt;/D&gt;&lt;D xsi:type="xsd:double"&gt;1086.5059&lt;/D&gt;&lt;D xsi:type="xsd:string"&gt;@NA&lt;/D&gt;&lt;D xsi:type="xsd:string"&gt;@NA&lt;/D&gt;&lt;D xsi:type="xsd:string"&gt;@NA&lt;/D&gt;&lt;/FQL&gt;&lt;FQL&gt;&lt;Q&gt;MOWI-NO^FE_TIMESERIES(CFI,MEAN,2016,2026,CY,'BKRACTMED=1,WIN=0,CURRENCY=USD,UNITS=AUTO,CALC=CALA,DATE=NOW')&lt;/Q&gt;&lt;R&gt;11&lt;/R&gt;&lt;C&gt;1&lt;/C&gt;&lt;D xsi:type="xsd:double"&gt;-140.62755&lt;/D&gt;&lt;D xsi:type="xsd:double"&gt;-294.03406&lt;/D&gt;&lt;D xsi:type="xsd:double"&gt;-636.615&lt;/D&gt;&lt;D xsi:type="xsd:double"&gt;-335.96274&lt;/D&gt;&lt;D xsi:type="xsd:double"&gt;-344.1796&lt;/D&gt;&lt;D xsi:type="xsd:double"&gt;-185.2126&lt;/D&gt;&lt;D xsi:type="xsd:double"&gt;-283.60312&lt;/D&gt;&lt;D xsi:type="xsd:double"&gt;-289.21024&lt;/D&gt;&lt;D xsi:type="xsd:string"&gt;@NA&lt;/D&gt;&lt;D xsi:type="xsd:string"&gt;@NA&lt;/D&gt;&lt;D xsi:type="xsd:string"&gt;@NA&lt;/D&gt;&lt;/FQL&gt;&lt;FQL&gt;&lt;Q&gt;MOWI-NO^FE_TIMESERIES(CFF,MEAN,2016,2026,CY,'BKRACTMED=1,WIN=0,CURRENCY=USD,UNITS=AUTO,CALC=CALA,DATE=NOW')&lt;/Q&gt;&lt;R&gt;11&lt;/R&gt;&lt;C&gt;1&lt;/C&gt;&lt;D xsi:type="xsd:double"&gt;-548.76465&lt;/D&gt;&lt;D xsi:type="xsd:double"&gt;-524.7949&lt;/D&gt;&lt;D xsi:type="xsd:double"&gt;-0.112875&lt;/D&gt;&lt;D xsi:type="xsd:double"&gt;-465.23785&lt;/D&gt;&lt;D xsi:type="xsd:double"&gt;-288.4322&lt;/D&gt;&lt;D xsi:type="xsd:double"&gt;-677.19464&lt;/D&gt;&lt;D xsi:type="xsd:double"&gt;-394.38834&lt;/D&gt;&lt;D xsi:type="xsd:double"&gt;-574.48566&lt;/D&gt;&lt;D xsi:type="xsd:string"&gt;@NA&lt;/D&gt;&lt;D xsi:type="xsd:string"&gt;@NA&lt;/D&gt;&lt;D xsi:type="xsd:string"&gt;@NA&lt;/D&gt;&lt;/FQL&gt;&lt;FQL&gt;&lt;Q&gt;MOWI-NO^FE_TIMESERIES(EPS,MEAN,2016,2026,CY,'BKRACTMED=1,WIN=0,CURRENCY=USD,UNITS=AUTO,CALC=CALA,DATE=NOW')&lt;/Q&gt;&lt;R&gt;11&lt;/R&gt;&lt;C&gt;1&lt;/C&gt;&lt;D xsi:type="xsd:double"&gt;1.1373808&lt;/D&gt;&lt;D xsi:type="xsd:double"&gt;1.5011865&lt;/D&gt;&lt;D xsi:type="xsd:double"&gt;1.2529125&lt;/D&gt;&lt;D xsi:type="xsd:double"&gt;1.1440275&lt;/D&gt;&lt;D xsi:type="xsd:double"&gt;0.521117&lt;/D&gt;&lt;D xsi:type="xsd:double"&gt;1.0027758&lt;/D&gt;&lt;D xsi:type="xsd:double"&gt;1.4345421&lt;/D&gt;&lt;D xsi:type="xsd:double"&gt;1.4362109&lt;/D&gt;&lt;D xsi:type="xsd:double"&gt;1.5659366&lt;/D&gt;&lt;D xsi:type="xsd:string"&gt;@NA&lt;/D&gt;&lt;D xsi:type="xsd:string"&gt;@NA&lt;/D&gt;&lt;/FQL&gt;&lt;FQL&gt;&lt;Q&gt;MOWI-NO^FE_TIMESERIES(NETDIV,MEAN,2016,2026,CY,'BKRACTMED=1,WIN=0,CURRENCY=USD,UNITS=AUTO,CALC=CALA,DATE=NOW')&lt;/Q&gt;&lt;R&gt;11&lt;/R&gt;&lt;C&gt;1&lt;/C&gt;&lt;D xsi:type="xsd:double"&gt;1.141938&lt;/D&gt;&lt;D xsi:type="xsd:double"&gt;1.612845&lt;/D&gt;&lt;D xsi:type="xsd:double"&gt;1.21905&lt;/D&gt;&lt;D xsi:type="xsd:double"&gt;1.154923&lt;/D&gt;&lt;D xsi:type="xsd:double"&gt;0.302975&lt;/D&gt;&lt;D xsi:type="xsd:double"&gt;0.6295892&lt;/D&gt;&lt;D xsi:type="xsd:double"&gt;1.0573565&lt;/D&gt;&lt;D xsi:type="xsd:double"&gt;1.065844&lt;/D&gt;&lt;D xsi:type="xsd:double"&gt;1.2176412&lt;/D&gt;&lt;D xsi:type="xsd:string"&gt;@NA&lt;/D&gt;&lt;D xsi:type="xsd:string"&gt;@NA&lt;/D&gt;&lt;/FQL&gt;&lt;FQL&gt;&lt;Q&gt;MOWI-NO^FE_TIMESERIES(CFPS,MEAN,2016,2026,CY,'BKRACTMED=1,WIN=0,CURRENCY=USD,UNITS=AUTO,CALC=CALA,DATE=NOW')&lt;/Q&gt;&lt;R&gt;11&lt;/R&gt;&lt;C&gt;1&lt;/C&gt;&lt;D xsi:type="xsd:double"&gt;1.607172&lt;/D&gt;&lt;D xsi:type="xsd:double"&gt;1.9043977&lt;/D&gt;&lt;D xsi:type="xsd:double"&gt;1.2178422&lt;/D&gt;&lt;D xsi:type="xsd:double"&gt;1.30746&lt;/D&gt;&lt;D xsi:type="xsd:double"&gt;0.860449&lt;/D&gt;&lt;D xsi:type="xsd:double"&gt;1.7050333&lt;/D&gt;&lt;D xsi:type="xsd:double"&gt;1.8630242&lt;/D&gt;&lt;D xsi:type="xsd:double"&gt;1.8875809&lt;/D&gt;&lt;D xsi:type="xsd:string"&gt;@NA&lt;/D&gt;&lt;D xsi:type="xsd:string"&gt;@NA&lt;/D&gt;&lt;D xsi:type="xsd:string"&gt;@NA&lt;/D&gt;&lt;/FQL&gt;&lt;FQL&gt;&lt;Q&gt;MOWI-NO^FE_TIMESERIES(BVPS,MEAN,2016,2026,CY,'BKRACTMED=1,WIN=0,CURRENCY=USD,UNITS=AUTO,CALC=CALA,DATE=NOW')&lt;/Q&gt;&lt;R&gt;11&lt;/R&gt;&lt;C&gt;1&lt;/C&gt;&lt;D xsi:type="xsd:double"&gt;4.842663&lt;/D&gt;&lt;D xsi:type="xsd:double"&gt;5.855868&lt;/D&gt;&lt;D xsi:type="xsd:double"&gt;6.2971044&lt;/D&gt;&lt;D xsi:type="xsd:double"&gt;6.094691&lt;/D&gt;&lt;D xsi:type="xsd:double"&gt;6.471546&lt;/D&gt;&lt;D xsi:type="xsd:double"&gt;7.1877866&lt;/D&gt;&lt;D xsi:type="xsd:double"&gt;7.66632&lt;/D&gt;&lt;D xsi:type="xsd:double"&gt;8.1908&lt;/D&gt;&lt;D xsi:type="xsd:double"&gt;8.312094&lt;/D&gt;&lt;D xsi:type="xsd:string"&gt;@NA&lt;/D&gt;&lt;D xsi:type="xsd:string"&gt;@NA&lt;/D&gt;&lt;/FQL&gt;&lt;FQL&gt;&lt;Q&gt;MOWI-NO^FE_TIMESERIES_VALUATION(ROA,MEAN,2016,2026,CY,'BKRACTMED=1,WIN=0,UNITS=AUTO,CALC=CALA,DATE=NOW')&lt;/Q&gt;&lt;R&gt;11&lt;/R&gt;&lt;C&gt;1&lt;/C&gt;&lt;D xsi:type="xsd:double"&gt;11.227125&lt;/D&gt;&lt;D xsi:type="xsd:double"&gt;10.571594&lt;/D&gt;&lt;D xsi:type="xsd:double"&gt;11.006803&lt;/D&gt;&lt;D xsi:type="xsd:double"&gt;8.167808&lt;/D&gt;&lt;D xsi:type="xsd:double"&gt;2.0372906&lt;/D&gt;&lt;D xsi:type="xsd:double"&gt;10.02697&lt;/D&gt;&lt;D xsi:type="xsd:double"&gt;10.184811&lt;/D&gt;&lt;D xsi:type="xsd:double"&gt;9.719603&lt;/D&gt;&lt;D xsi:type="xsd:string"&gt;@NA&lt;/D&gt;&lt;D xsi:type="xsd:string"&gt;@NA&lt;/D&gt;&lt;D xsi:type="xsd:string"&gt;@NA&lt;/D&gt;&lt;/FQL&gt;&lt;FQL&gt;&lt;Q&gt;MOWI-NO^FE_TIMESERIES_VALUATION(ROE,MEAN,2016,2026,CY,'BKRACTMED=1,WIN=0,UNITS=AUTO,CALC=CALA,DATE=NOW')&lt;/Q&gt;&lt;R&gt;11&lt;/R&gt;&lt;C&gt;1&lt;/C&gt;&lt;D xsi:type="xsd:double"&gt;23.486681&lt;/D&gt;&lt;D xsi:type="xsd:double"&gt;25.635595&lt;/D&gt;&lt;D xsi:type="xsd:double"&gt;19.896645&lt;/D&gt;&lt;D xsi:type="xsd:double"&gt;18.770887&lt;/D&gt;&lt;D xsi:type="xsd:double"&gt;8.052434&lt;/D&gt;&lt;D xsi:type="xsd:double"&gt;13.951107&lt;/D&gt;&lt;D xsi:type="xsd:double"&gt;18.712265&lt;/D&gt;&lt;D xsi:type="xsd:double"&gt;17.534441&lt;/D&gt;&lt;D xsi:type="xsd:double"&gt;18.839254&lt;/D&gt;&lt;D xsi:type="xsd:string"&gt;@NA&lt;/D&gt;&lt;D xsi:type="xsd:string"&gt;@NA&lt;/D&gt;&lt;/FQL&gt;&lt;FQL&gt;&lt;Q&gt;MOWI-NO^FE_TIMESERIES_VALUATION(NETINC_ROA,MEAN,2016,2026,CY,'BKRACTMED=1,WIN=0,UNITS=AUTO,CALC=CALA,DATE=NOW')&lt;/Q&gt;&lt;R&gt;11&lt;/R&gt;&lt;C&gt;1&lt;/C&gt;&lt;D xsi:type="xsd:double"&gt;0.11524798&lt;/D&gt;&lt;D xsi:type="xsd:double"&gt;0.105267525&lt;/D&gt;&lt;D xsi:type="xsd:double"&gt;0.11972197&lt;/D&gt;&lt;D xsi:type="xsd:double"&gt;0.0880007&lt;/D&gt;&lt;D xsi:type="xsd:double"&gt;0.02054697&lt;/D&gt;&lt;D xsi:type="xsd:double"&gt;0.102837235&lt;/D&gt;&lt;D xsi:type="xsd:double"&gt;0.10387388&lt;/D&gt;&lt;D xsi:type="xsd:double"&gt;0.09890722&lt;/D&gt;&lt;D xsi:type="xsd:string"&gt;@NA&lt;/D&gt;&lt;D xsi:type="xsd:string"&gt;@NA&lt;/D&gt;&lt;D xsi:type="xsd:string"&gt;@NA&lt;/D&gt;&lt;/FQL&gt;&lt;FQL&gt;&lt;Q&gt;MOWI-NO^FE_TIMESERIES_VALUATION(NETINC_SHEQUITY,MEAN,2016,2026,CY,'BKRACTMED=1,WIN=0,UNITS=AUTO,CALC=CALA,DATE=NOW')&lt;/Q&gt;&lt;R&gt;11&lt;/R&gt;&lt;C&gt;1&lt;/C&gt;&lt;D xsi:type="xsd:double"&gt;0.26180464&lt;/D&gt;&lt;D xsi:type="xsd:double"&gt;0.21857071&lt;/D&gt;&lt;D xsi:type="xsd:double"&gt;0.2185171&lt;/D&gt;&lt;D xsi:type="xsd:double"&gt;0.16771035&lt;/D&gt;&lt;D xsi:type="xsd:double"&gt;0.042475633&lt;/D&gt;&lt;D xsi:type="xsd:double"&gt;0.20785679&lt;/D&gt;&lt;D xsi:type="xsd:double"&gt;0.19918475&lt;/D&gt;&lt;D xsi:type="xsd:double"&gt;0.18452893&lt;/D&gt;&lt;D xsi:type="xsd:string"&gt;@NA&lt;/D&gt;&lt;D xsi:type="xsd:string"&gt;@NA&lt;/D&gt;&lt;D xsi:type="xsd:string"&gt;@NA&lt;/D&gt;&lt;/FQL&gt;&lt;FQL&gt;&lt;Q&gt;BAKKA-NO^PROPER(CONVERT_DATE(FE_TIMESERIES_PERIOD(,2016,2026,CY,''),"MMM 'YY"))&lt;/Q&gt;&lt;R&gt;11&lt;/R&gt;&lt;C&gt;1&lt;/C&gt;&lt;D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'25&lt;/D&gt;&lt;D xsi:type="xsd:string"&gt;Dec '26&lt;/D&gt;&lt;/FQL&gt;&lt;FQL&gt;&lt;Q&gt;BAKKA-NO^FE_TIMESERIES_PERIOD(,2016,2026,CY,'')&lt;/Q&gt;&lt;R&gt;11&lt;/R&gt;&lt;C&gt;1&lt;/C&gt;&lt;D xsi:type="xsd:string"&gt;2016&lt;/D&gt;&lt;D xsi:type="xsd:string"&gt;2017&lt;/D&gt;&lt;D xsi:type="xsd:string"&gt;2018&lt;/D&gt;&lt;D xsi:type="xsd:string"&gt;2019&lt;/D&gt;&lt;D xsi:type="xsd:string"&gt;2020&lt;/D&gt;&lt;D xsi:type="xsd:string"&gt;2021&lt;/D&gt;&lt;D xsi:type="xsd:string"&gt;2022&lt;/D&gt;&lt;D xsi:type="xsd:string"&gt;2023&lt;/D&gt;&lt;D xsi:type="xsd:string"&gt;2024&lt;/D&gt;&lt;D xsi:type="xsd:string"&gt;2025&lt;/D&gt;&lt;D xsi:type="xsd:string"&gt;2026&lt;/D&gt;&lt;/FQL&gt;&lt;FQL&gt;&lt;Q&gt;BAKKA-NO^FE_TIMESERIES(EPS,MEAN,2016,2026,CY,'BKRACTMED=1,WIN=0,CURRENCY=USD,UNITS=AUTO,CALC=CALA,DATE=NOW')&lt;/Q&gt;&lt;R&gt;11&lt;/R&gt;&lt;C&gt;1&lt;/C&gt;&lt;D xsi:type="xsd:double"&gt;2.5003996&lt;/D&gt;&lt;D xsi:type="xsd:double"&gt;3.481888&lt;/D&gt;&lt;D xsi:type="xsd:double"&gt;2.493752&lt;/D&gt;&lt;D xsi:type="xsd:double"&gt;2.789805&lt;/D&gt;&lt;D xsi:type="xsd:double"&gt;1.0119805&lt;/D&gt;&lt;D xsi:type="xsd:double"&gt;2.7664979&lt;/D&gt;&lt;D xsi:type="xsd:double"&gt;3.8956172&lt;/D&gt;&lt;D xsi:type="xsd:double"&gt;4.337246&lt;/D&gt;&lt;D xsi:type="xsd:double"&gt;4.476637&lt;/D&gt;&lt;D xsi:type="xsd:double"&gt;4.342639&lt;/D&gt;&lt;D xsi:type="xsd:string"&gt;@NA&lt;/D&gt;&lt;/FQL&gt;&lt;FQL&gt;&lt;Q&gt;BAKKA-NO^FE_TIMESERIES(EAG,MEAN,2016,2026,CY,'BKRACTMED=1,WIN=0,CURRENCY=USD,UNITS=AUTO,CALC=CALA,DATE=NOW')&lt;/Q&gt;&lt;R&gt;11&lt;/R&gt;&lt;C&gt;1&lt;/C&gt;&lt;D xsi:type="xsd:double"&gt;3.9302244&lt;/D&gt;&lt;D xsi:type="xsd:double"&gt;1.7399249&lt;/D&gt;&lt;D xsi:type="xsd:double"&gt;2.9947355&lt;/D&gt;&lt;D xsi:type="xsd:double"&gt;2.275508&lt;/D&gt;&lt;D xsi:type="xsd:double"&gt;1.2780335&lt;/D&gt;&lt;D xsi:type="xsd:double"&gt;3.7859466&lt;/D&gt;&lt;D xsi:type="xsd:double"&gt;3.9991918&lt;/D&gt;&lt;D xsi:type="xsd:double"&gt;4.3845487&lt;/D&gt;&lt;D xsi:type="xsd:double"&gt;4.476637&lt;/D&gt;&lt;D xsi:type="xsd:string"&gt;@NA&lt;/D&gt;&lt;D xsi:type="xsd:string"&gt;@NA&lt;/D&gt;&lt;/FQL&gt;&lt;FQL&gt;&lt;Q&gt;BAKKA-NO^FE_TIMESERIES(EBG,MEAN,2016,2026,CY,'BKRACTMED=1,WIN=0,CURRENCY=USD,UNITS=AUTO,CALC=CALA,DATE=NOW')&lt;/Q&gt;&lt;R&gt;11&lt;/R&gt;&lt;C&gt;1&lt;/C&gt;&lt;D xsi:type="xsd:double"&gt;2.493989&lt;/D&gt;&lt;D xsi:type="xsd:double"&gt;3.481888&lt;/D&gt;&lt;D xsi:type="xsd:double"&gt;2.493752&lt;/D&gt;&lt;D xsi:type="xsd:double"&gt;2.789805&lt;/D&gt;&lt;D xsi:type="xsd:double"&gt;1.0119805&lt;/D&gt;&lt;D xsi:type="xsd:double"&gt;2.7664979&lt;/D&gt;&lt;D xsi:type="xsd:double"&gt;3.8956172&lt;/D&gt;&lt;D xsi:type="xsd:double"&gt;4.337246&lt;/D&gt;&lt;D xsi:type="xsd:double"&gt;4.476637&lt;/D&gt;&lt;D xsi:type="xsd:double"&gt;4.342639&lt;/D&gt;&lt;D xsi:type="xsd:string"&gt;@NA&lt;/D&gt;&lt;/FQL&gt;&lt;FQL&gt;&lt;Q&gt;BAKKA-NO^FE_TIMESERIES(SALES,MEAN,2016,2026,CY,'BKRACTMED=1,WIN=0,CURRENCY=USD,UNITS=AUTO,CALC=CALA,DATE=NOW')&lt;/Q&gt;&lt;R&gt;11&lt;/R&gt;&lt;C&gt;1&lt;/C&gt;&lt;D xsi:type="xsd:double"&gt;457.31662&lt;/D&gt;&lt;D xsi:type="xsd:double"&gt;624.7308&lt;/D&gt;&lt;D xsi:type="xsd:double"&gt;482.61038&lt;/D&gt;&lt;D xsi:type="xsd:double"&gt;660.9826&lt;/D&gt;&lt;D xsi:type="xsd:double"&gt;766.4827&lt;/D&gt;&lt;D xsi:type="xsd:double"&gt;944.5084&lt;/D&gt;&lt;D xsi:type="xsd:double"&gt;1050.633&lt;/D&gt;&lt;D xsi:type="xsd:double"&gt;1118.8837&lt;/D&gt;&lt;D xsi:type="xsd:double"&gt;1182.8467&lt;/D&gt;&lt;D xsi:type="xsd:string"&gt;@NA&lt;/D&gt;&lt;D xsi:type="xsd:string"&gt;@NA&lt;/D&gt;&lt;/FQL&gt;&lt;FQL&gt;&lt;Q&gt;BAKKA-NO^FE_TIMESERIES(COS,MEAN,2016,2026,CY,'BKRACTMED=1,WIN=0,CURRENCY=USD,UNITS=AUTO,CALC=CALA,DATE=NOW')&lt;/Q&gt;&lt;R&gt;11&lt;/R&gt;&lt;C&gt;1&lt;/C&gt;&lt;D xsi:type="xsd:double"&gt;122.9315&lt;/D&gt;&lt;D xsi:type="xsd:double"&gt;184.18787&lt;/D&gt;&lt;D xsi:type="xsd:double"&gt;274.04126&lt;/D&gt;&lt;D xsi:type="xsd:double"&gt;312.0948&lt;/D&gt;&lt;D xsi:type="xsd:double"&gt;581.7256&lt;/D&gt;&lt;D xsi:type="xsd:double"&gt;513.663&lt;/D&gt;&lt;D xsi:type="xsd:double"&gt;496.73138&lt;/D&gt;&lt;D xsi:type="xsd:double"&gt;487.55127&lt;/D&gt;&lt;D xsi:type="xsd:string"&gt;@NA&lt;/D&gt;&lt;D xsi:type="xsd:string"&gt;@NA&lt;/D&gt;&lt;D xsi:type="xsd:string"&gt;@NA&lt;/D&gt;&lt;/FQL&gt;&lt;FQL&gt;&lt;Q&gt;BAKKA-NO^FE_TIMESERIES(GROSSINCOME,MEAN,2016,2026,CY,'BKRACTMED=1,WIN=0,CURRENCY=USD,UNITS=AUTO,CALC=CALA,DATE=NOW')&lt;/Q&gt;&lt;R&gt;11&lt;/R&gt;&lt;C&gt;1&lt;/C&gt;&lt;D xsi:type="xsd:double"&gt;259.7838&lt;/D&gt;&lt;D xsi:type="xsd:double"&gt;440.62576&lt;/D&gt;&lt;D xsi:type="xsd:double"&gt;193.07454&lt;/D&gt;&lt;D xsi:type="xsd:double"&gt;458.1786&lt;/D&gt;&lt;D xsi:type="xsd:double"&gt;307.10345&lt;/D&gt;&lt;D xsi:type="xsd:double"&gt;482.55115&lt;/D&gt;&lt;D xsi:type="xsd:double"&gt;554.45764&lt;/D&gt;&lt;D xsi:type="xsd:double"&gt;595.64905&lt;/D&gt;&lt;D xsi:type="xsd:string"&gt;@NA&lt;/D&gt;&lt;D xsi:type="xsd:string"&gt;@NA&lt;/D&gt;&lt;D xsi:type="xsd:string"&gt;@NA&lt;/D&gt;&lt;/FQL&gt;&lt;FQL&gt;&lt;Q&gt;BAKKA-NO^FE_TIMESERIES(SGA,MEAN,2016,2026,CY,'BKRACTMED=1,WIN=0,CURRENCY=USD,UNITS=AUTO,CALC=CALA,DATE=NOW')&lt;/Q&gt;&lt;R&gt;11&lt;/R&gt;&lt;C&gt;1&lt;/C&gt;&lt;D xsi:type="xsd:double"&gt;46.83105&lt;/D&gt;&lt;D xsi:type="xsd:double"&gt;66.28443&lt;/D&gt;&lt;D xsi:type="xsd:double"&gt;53.775284&lt;/D&gt;&lt;D xsi:type="xsd:double"&gt;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75.16649&lt;/D&gt;&lt;D xsi:type="xsd:double"&gt;99.23938&lt;/D&gt;&lt;D xsi:type="xsd:string"&gt;@NA&lt;/D&gt;&lt;D xsi:type="xsd:string"&gt;@NA&lt;/D&gt;&lt;D xsi:type="xsd:string"&gt;@NA&lt;/D&gt;&lt;D xsi:type="xsd:string"&gt;@NA&lt;/D&gt;&lt;D xsi:type="xsd:string"&gt;@NA&lt;/D&gt;&lt;D xsi:type="xsd:string"&gt;@NA&lt;/D&gt;&lt;/FQL&gt;&lt;FQL&gt;&lt;Q&gt;BAKKA-NO^FE_TIMESERIES(EBITDA,MEAN,2016,2026,CY,'BKRACTMED=1,WIN=0,CURRENCY=USD,UNITS=AUTO,CALC=CALA,DATE=NOW')&lt;/Q&gt;&lt;R&gt;11&lt;/R&gt;&lt;C&gt;1&lt;/C&gt;&lt;D xsi:type="xsd:double"&gt;185.32532&lt;/D&gt;&lt;D xsi:type="xsd:double"&gt;258.675&lt;/D&gt;&lt;D xsi:type="xsd:double"&gt;193.37836&lt;/D&gt;&lt;D xsi:type="xsd:double"&gt;239.5657&lt;/D&gt;&lt;D xsi:type="xsd:double"&gt;174.32181&lt;/D&gt;&lt;D xsi:type="xsd:double"&gt;315.76337&lt;/D&gt;&lt;D xsi:type="xsd:double"&gt;407.39648&lt;/D&gt;&lt;D xsi:type="xsd:double"&gt;445.32147&lt;/D&gt;&lt;D xsi:type="xsd:double"&gt;442.0994&lt;/D&gt;&lt;D xsi:type="xsd:string"&gt;@NA&lt;/D&gt;&lt;D xsi:type="xsd:string"&gt;@NA&lt;/D&gt;&lt;/FQL&gt;&lt;FQL&gt;&lt;Q&gt;BAKKA-NO^FE_TIMESERIES(EBITDA_ADJ,MEAN,2016,2026,CY,'BKRACTMED=1,WIN=0,CURRENCY=USD,UNITS=AUTO,CALC=CALA,DATE=NOW')&lt;/Q&gt;&lt;R&gt;11&lt;/R&gt;&lt;C&gt;1&lt;/C&gt;&lt;D xsi:type="xsd:double"&gt;185.3403&lt;/D&gt;&lt;D xsi:type="xsd:double"&gt;258.675&lt;/D&gt;&lt;D xsi:type="xsd:double"&gt;193.22644&lt;/D&gt;&lt;D xsi:type="xsd:double"&gt;239.5657&lt;/D&gt;&lt;D xsi:type="xsd:double"&gt;174.31308&lt;/D&gt;&lt;D xsi:type="xsd:double"&gt;315.966&lt;/D&gt;&lt;D xsi:type="xsd:double"&gt;400.52527&lt;/D&gt;&lt;D xsi:type="xsd:double"&gt;445.31216&lt;/D&gt;&lt;D xsi:type="xsd:string"&gt;@NA&lt;/D&gt;&lt;D xsi:type="xsd:string"&gt;@NA&lt;/D&gt;&lt;D xsi:type="xsd:string"&gt;@NA&lt;/D&gt;&lt;/FQL&gt;&lt;FQL&gt;&lt;Q&gt;BAKKA-NO^FE_TIMESERIES(EBITDA_REP,MEAN,2016,2026,CY,'BKRACTMED=1,WIN=0,CURRENCY=USD,UNITS=AUTO,CALC=CALA,DATE=NOW')&lt;/Q&gt;&lt;R&gt;11&lt;/R&gt;&lt;C&gt;1&lt;/C&gt;&lt;D xsi:type="xsd:double"&gt;185.3553&lt;/D&gt;&lt;D xsi:type="xsd:double"&gt;258.7131&lt;/D&gt;&lt;D xsi:type="xsd:double"&gt;193.53026&lt;/D&gt;&lt;D xsi:type="xsd:double"&gt;239.5657&lt;/D&gt;&lt;D xsi:type="xsd:double"&gt;174.32181&lt;/D&gt;&lt;D xsi:type="xsd:double"&gt;313.8638&lt;/D&gt;&lt;D xsi:type="xsd:double"&gt;403.75946&lt;/D&gt;&lt;D xsi:type="xsd:double"&gt;452.6695&lt;/D&gt;&lt;D xsi:type="xsd:string"&gt;@NA&lt;/D&gt;&lt;D xsi:type="xsd:string"&gt;@NA&lt;/D&gt;&lt;D xsi:type="xsd:string"&gt;@NA&lt;/D&gt;&lt;/FQL&gt;&lt;FQL&gt;&lt;Q&gt;BAKKA-NO^FE_TIMESERIES(DEPR_AMORT,MEAN,2016,2026,CY,'BKRACTMED=1,WIN=0,CURRENCY=USD,UNITS=AUTO,CALC=CALA,DATE=NOW')&lt;/Q&gt;&lt;R&gt;11&lt;/R&gt;&lt;C&gt;1&lt;/C&gt;&lt;D xsi:type="xsd:double"&gt;18.98942&lt;/D&gt;&lt;D xsi:type="xsd:double"&gt;30.490839&lt;/D&gt;&lt;D xsi:type="xsd:double"&gt;30.229609&lt;/D&gt;&lt;D xsi:type="xsd:double"&gt;45.422245&lt;/D&gt;&lt;D xsi:type="xsd:double"&gt;72.96053&lt;/D&gt;&lt;D xsi:type="xsd:double"&gt;82.2665&lt;/D&gt;&lt;D xsi:type="xsd:double"&gt;84.504654&lt;/D&gt;&lt;D xsi:type="xsd:double"&gt;85.17663&lt;/D&gt;&lt;D xsi:type="xsd:string"&gt;@NA&lt;/D&gt;&lt;D xsi:type="xsd:string"&gt;@NA&lt;/D&gt;&lt;D xsi:type="xsd:string"&gt;@NA&lt;/D&gt;&lt;/FQL&gt;&lt;FQL&gt;&lt;Q&gt;BAKKA-NO^FE_TIMESERIES(EBIT,MEAN,2016,2026,CY,'BKRACTMED=1,WIN=0,CURRENCY=USD,UNITS=AUTO,CALC=CALA,DATE=NOW')&lt;/Q&gt;&lt;R&gt;11&lt;/R&gt;&lt;C&gt;1&lt;/C&gt;&lt;D xsi:type="xsd:double"&gt;166.33589&lt;/D&gt;&lt;D xsi:type="xsd:double"&gt;228.34987&lt;/D&gt;&lt;D xsi:type="xsd:double"&gt;163.28728&lt;/D&gt;&lt;D xsi:type="xsd:double"&gt;194.14346&lt;/D&gt;&lt;D xsi:type="xsd:double"&gt;101.361275&lt;/D&gt;&lt;D xsi:type="xsd:double"&gt;229.37857&lt;/D&gt;&lt;D xsi:type="xsd:double"&gt;313.28104&lt;/D&gt;&lt;D xsi:type="xsd:double"&gt;344.80185&lt;/D&gt;&lt;D xsi:type="xsd:double"&gt;351.62106&lt;/D&gt;&lt;D xsi:type="xsd:double"&gt;345.14343&lt;/D&gt;&lt;D xsi:type="xsd:string"&gt;@NA&lt;/D&gt;&lt;/FQL&gt;&lt;FQL&gt;&lt;Q&gt;BAKKA-NO^FE_TIMESERIES(EBITA,MEAN,2016,2026,CY,'BKRACTMED=1,WIN=0,CURRENCY=USD,UNITS=AUTO,CALC=CALA,DATE=NOW')&lt;/Q&gt;&lt;R&gt;11&lt;/R&gt;&lt;C&gt;1&lt;/C&gt;&lt;D xsi:type="xsd:double"&gt;166.33589&lt;/D&gt;&lt;D xsi:type="xsd:double"&gt;228.26701&lt;/D&gt;&lt;D xsi:type="xsd:double"&gt;163.30064&lt;/D&gt;&lt;D xsi:type="xsd:double"&gt;194.14346&lt;/D&gt;&lt;D xsi:type="xsd:double"&gt;101.361275&lt;/D&gt;&lt;D xsi:type="xsd:double"&gt;231.94995&lt;/D&gt;&lt;D xsi:type="xsd:double"&gt;332.30948&lt;/D&gt;&lt;D xsi:type="xsd:double"&gt;368.18335&lt;/D&gt;&lt;D xsi:type="xsd:string"&gt;@NA&lt;/D&gt;&lt;D xsi:type="xsd:string"&gt;@NA&lt;/D&gt;&lt;D xsi:type="xsd:string"&gt;@NA&lt;/D&gt;&lt;/FQL&gt;&lt;FQL&gt;&lt;Q&gt;BAKKA-NO^FE_TIMESERIES(EBIT_ADJ,MEAN,2016,2026,CY,'BKRACTMED=1,WIN=0,CURRENCY=USD,UNITS=AUTO,CALC=CALA,DATE=NOW')&lt;/Q&gt;&lt;R&gt;11&lt;/R&gt;&lt;C&gt;1&lt;/C&gt;&lt;D xsi:type="xsd:double"&gt;166.33589&lt;/D&gt;&lt;D xsi:type="xsd:double"&gt;228.34987&lt;/D&gt;&lt;D xsi:type="xsd:double"&gt;163.28728&lt;/D&gt;&lt;D xsi:type="xsd:double"&gt;194.14346&lt;/D&gt;&lt;D xsi:type="xsd:double"&gt;101.361275&lt;/D&gt;&lt;D xsi:type="xsd:double"&gt;229.19528&lt;/D&gt;&lt;D xsi:type="xsd:double"&gt;306.00775&lt;/D&gt;&lt;D xsi:type="xsd:double"&gt;344.80185&lt;/D&gt;&lt;D xsi:type="xsd:double"&gt;351.62106&lt;/D&gt;&lt;D xsi:type="xsd:double"&gt;345.14343&lt;/D&gt;&lt;D xsi:type="xsd:string"&gt;@NA&lt;/D&gt;&lt;/FQL&gt;&lt;FQL&gt;&lt;Q&gt;BAKKA-NO^FE_TIMESERIES(EBITR,MEAN,2016,2026,CY,'BKRACTMED=1,WIN=0,CURRENCY=USD,UNITS=AUTO,CALC=CALA,DATE=NOW')&lt;/Q&gt;&lt;R&gt;11&lt;/R&gt;&lt;C&gt;1&lt;/C&gt;&lt;D xsi:type="xsd:double"&gt;239.00969&lt;/D&gt;&lt;D xsi:type="xsd:double"&gt;107.54649&lt;/D&gt;&lt;D xsi:type="xsd:double"&gt;179.17499&lt;/D&gt;&lt;D xsi:type="xsd:double"&gt;149.30731&lt;/D&gt;&lt;D xsi:type="xsd:double"&gt;112.786865&lt;/D&gt;&lt;D xsi:type="xsd:double"&gt;269.3599&lt;/D&gt;&lt;D xsi:type="xsd:double"&gt;294.34207&lt;/D&gt;&lt;D xsi:type="xsd:double"&gt;337.53183&lt;/D&gt;&lt;D xsi:type="xsd:string"&gt;@NA&lt;/D&gt;&lt;D xsi:type="xsd:string"&gt;@NA&lt;/D&gt;&lt;D xsi:type="xsd:string"&gt;@NA&lt;/D&gt;&lt;/FQL&gt;&lt;FQL&gt;&lt;Q&gt;BAKKA-NO^FE_TIMESERIES(INTEXP,MEAN,2016,2026,CY,'BKRACTMED=1,WIN=0,CURRENCY=USD,UNITS=AUTO,CALC=CALA,DATE=NOW')&lt;/Q&gt;&lt;R&gt;11&lt;/R&gt;&lt;C&gt;1&lt;/C&gt;&lt;D xsi:type="xsd:double"&gt;3.7122173&lt;/D&gt;&lt;D xsi:type="xsd:string"&gt;@NA&lt;/D&gt;&lt;D xsi:type="xsd:string"&gt;@NA&lt;/D&gt;&lt;D xsi:type="xsd:double"&gt;5.421365&lt;/D&gt;&lt;D xsi:type="xsd:double"&gt;10.609473&lt;/D&gt;&lt;D xsi:type="xsd:double"&gt;8.571632&lt;/D&gt;&lt;D xsi:type="xsd:double"&gt;13.333651&lt;/D&gt;&lt;D xsi:type="xsd:string"&gt;@NA&lt;/D&gt;&lt;D xsi:type="xsd:string"&gt;@NA&lt;/D&gt;&lt;D xsi:type="xsd:string"&gt;@NA&lt;/D&gt;&lt;D xsi:type="xsd:string"&gt;@NA&lt;/D&gt;&lt;/FQL&gt;&lt;FQL&gt;&lt;Q&gt;BAKKA-NO^FE_TIMESERIES(PTP,MEAN,2016,2026,CY,'BKRACTMED=1,WIN=0,CURRENCY=USD,UNITS=AUTO,CALC=CALA,DATE=NOW')&lt;/Q&gt;&lt;R&gt;11&lt;/R&gt;&lt;C&gt;1&lt;/C&gt;&lt;D xsi:type="xsd:double"&gt;233.1558&lt;/D&gt;&lt;D xsi:type="xsd:double"&gt;103.40372&lt;/D&gt;&lt;D xsi:type="xsd:double"&gt;178.03569&lt;/D&gt;&lt;D xsi:type="xsd:double"&gt;143.88596&lt;/D&gt;&lt;D xsi:type="xsd:double"&gt;102.17739&lt;/D&gt;&lt;D xsi:type="xsd:double"&gt;278.2064&lt;/D&gt;&lt;D xsi:type="xsd:double"&gt;294.79276&lt;/D&gt;&lt;D xsi:type="xsd:double"&gt;330.14117&lt;/D&gt;&lt;D xsi:type="xsd:double"&gt;322.88016&lt;/D&gt;&lt;D xsi:type="xsd:string"&gt;@NA&lt;/D&gt;&lt;D xsi:type="xsd:string"&gt;@NA&lt;/D&gt;&lt;/FQL&gt;&lt;FQL&gt;&lt;Q&gt;BAKKA-NO^FE_TIMESERIES(PTPA,MEAN,2016,2026,CY,'BKRACTMED=1,WIN=0,CURRENCY=USD,UNITS=AUTO,CALC=CALA,DATE=NOW')&lt;/Q&gt;&lt;R&gt;11&lt;/R&gt;&lt;C&gt;1&lt;/C&gt;&lt;D xsi:type="xsd:double"&gt;162.4809&lt;/D&gt;&lt;D xsi:type="xsd:double"&gt;103.73514&lt;/D&gt;&lt;D xsi:type="xsd:double"&gt;159.50296&lt;/D&gt;&lt;D xsi:type="xsd:double"&gt;111.55205&lt;/D&gt;&lt;D xsi:type="xsd:double"&gt;93.80407&lt;/D&gt;&lt;D xsi:type="xsd:double"&gt;273.19418&lt;/D&gt;&lt;D xsi:type="xsd:double"&gt;305.99677&lt;/D&gt;&lt;D xsi:type="xsd:double"&gt;339.9287&lt;/D&gt;&lt;D xsi:type="xsd:string"&gt;@NA&lt;/D&gt;&lt;D xsi:type="xsd:string"&gt;@NA&lt;/D&gt;&lt;D xsi:type="xsd:string"&gt;@NA&lt;/D&gt;&lt;/FQL&gt;&lt;FQL&gt;&lt;Q&gt;BAKKA-NO^FE_TIMESERIES(PTPBG,MEAN,2016,2026,CY,'BKRACTMED=1,WIN=0,CURRENCY=USD,UNITS=AUTO,CALC=CALA,DATE=NOW')&lt;/Q&gt;&lt;R&gt;11&lt;/R&gt;&lt;C&gt;1&lt;/C&gt;&lt;D xsi:type="xsd:double"&gt;234.29802&lt;/D&gt;&lt;D xsi:type="xsd:double"&gt;123.28905&lt;/D&gt;&lt;D xsi:type="xsd:double"&gt;178.0448&lt;/D&gt;&lt;D xsi:type="xsd:double"&gt;143.87027&lt;/D&gt;&lt;D xsi:type="xsd:double"&gt;102.17739&lt;/D&gt;&lt;D xsi:type="xsd:double"&gt;291.33704&lt;/D&gt;&lt;D xsi:type="xsd:double"&gt;297.63678&lt;/D&gt;&lt;D xsi:type="xsd:double"&gt;326.59506&lt;/D&gt;&lt;D xsi:type="xsd:string"&gt;@NA&lt;/D&gt;&lt;D xsi:type="xsd:string"&gt;@NA&lt;/D&gt;&lt;D xsi:type="xsd:string"&gt;@NA&lt;/D&gt;&lt;/FQL&gt;&lt;FQL&gt;&lt;Q&gt;BAKKA-NO^FE_TIMESERIES(TAX_EXPENSE,MEAN,2016,2026,CY,'BKRACTMED=1,WIN=0,CURRENCY=USD,UNITS=AUTO,CALC=CALA,DATE=NOW')&lt;/Q&gt;&lt;R&gt;11&lt;/R&gt;&lt;C&gt;1&lt;/C&gt;&lt;D xsi:type="xsd:double"&gt;41.976612&lt;/D&gt;&lt;D xsi:type="xsd:double"&gt;18.55964&lt;/D&gt;&lt;D xsi:type="xsd:double"&gt;32.204407&lt;/D&gt;&lt;D xsi:type="xsd:double"&gt;26.374207&lt;/D&gt;&lt;D xsi:type="xsd:double"&gt;26.605295&lt;/D&gt;&lt;D xsi:type="xsd:double"&gt;57.781796&lt;/D&gt;&lt;D xsi:type="xsd:double"&gt;59.99878&lt;/D&gt;&lt;D xsi:type="xsd:double"&gt;70.97629&lt;/D&gt;&lt;D xsi:type="xsd:string"&gt;@NA&lt;/D&gt;&lt;D xsi:type="xsd:double"&gt;56.465645&lt;/D&gt;&lt;D xsi:type="xsd:string"&gt;@NA&lt;/D&gt;&lt;/FQL&gt;&lt;FQL&gt;&lt;Q&gt;BAKKA-NO^FE_TIMESERIES(NETPROFIT,MEAN,2016,2026,CY,'BKRACTMED=1,WIN=0,CURRENCY=USD,UNITS=AUTO,CALC=CALA,DATE=NOW')&lt;/Q&gt;&lt;R&gt;11&lt;/R&gt;&lt;C&gt;1&lt;/C&gt;&lt;D xsi:type="xsd:double"&gt;191.1792&lt;/D&gt;&lt;D xsi:type="xsd:double"&gt;84.74481&lt;/D&gt;&lt;D xsi:type="xsd:double"&gt;145.83128&lt;/D&gt;&lt;D xsi:type="xsd:double"&gt;117.494896&lt;/D&gt;&lt;D xsi:type="xsd:double"&gt;59.753044&lt;/D&gt;&lt;D xsi:type="xsd:double"&gt;179.8892&lt;/D&gt;&lt;D xsi:type="xsd:double"&gt;232.0326&lt;/D&gt;&lt;D xsi:type="xsd:double"&gt;259.2125&lt;/D&gt;&lt;D xsi:type="xsd:double"&gt;264.76172&lt;/D&gt;&lt;D xsi:type="xsd:double"&gt;257.1568&lt;/D&gt;&lt;D xsi:type="xsd:string"&gt;@NA&lt;/D&gt;&lt;/FQL&gt;&lt;FQL&gt;&lt;Q&gt;BAKKA-NO^FE_TIMESERIES(NETBG,MEAN,2016,2026,CY,'BKRACTMED=1,WIN=0,CURRENCY=USD,UNITS=AUTO,CALC=CALA,DATE=NOW')&lt;/Q&gt;&lt;R&gt;11&lt;/R&gt;&lt;C&gt;1&lt;/C&gt;&lt;D xsi:type="xsd:double"&gt;121.843254&lt;/D&gt;&lt;D xsi:type="xsd:double"&gt;169.84143&lt;/D&gt;&lt;D xsi:type="xsd:double"&gt;120.54626&lt;/D&gt;&lt;D xsi:type="xsd:double"&gt;143.99583&lt;/D&gt;&lt;D xsi:type="xsd:double"&gt;59.753044&lt;/D&gt;&lt;D xsi:type="xsd:double"&gt;179.8892&lt;/D&gt;&lt;D xsi:type="xsd:double"&gt;232.0326&lt;/D&gt;&lt;D xsi:type="xsd:double"&gt;259.2125&lt;/D&gt;&lt;D xsi:type="xsd:double"&gt;264.76172&lt;/D&gt;&lt;D xsi:type="xsd:double"&gt;257.1568&lt;/D&gt;&lt;D xsi:type="xsd:string"&gt;@NA&lt;/D&gt;&lt;/FQL&gt;&lt;FQL&gt;&lt;Q&gt;BAKKA-NO^FE_TIMESERIES(BFNG,MEAN,2016,2026,CY,'BKRACTMED=1,WIN=0,CURRENCY=USD,UNITS=AUTO,CALC=CALA,DATE=NOW')&lt;/Q&gt;&lt;R&gt;11&lt;/R&gt;&lt;C&gt;1&lt;/C&gt;&lt;D xsi:type="xsd:double"&gt;191.1792&lt;/D&gt;&lt;D xsi:type="xsd:double"&gt;84.74481&lt;/D&gt;&lt;D xsi:type="xsd:double"&gt;145.853&lt;/D&gt;&lt;D xsi:type="xsd:double"&gt;117.494896&lt;/D&gt;&lt;D xsi:type="xsd:double"&gt;75.5468&lt;/D&gt;&lt;D xsi:type="xsd:double"&gt;223.76654&lt;/D&gt;&lt;D xsi:type="xsd:double"&gt;236.41388&lt;/D&gt;&lt;D xsi:type="xsd:double"&gt;259.21606&lt;/D&gt;&lt;D xsi:type="xsd:double"&gt;264.76172&lt;/D&gt;&lt;D xsi:type="xsd:string"&gt;@NA&lt;/D&gt;&lt;D xsi:type="xsd:string"&gt;@NA&lt;/D&gt;&lt;/FQL&gt;&lt;FQL&gt;&lt;Q&gt;BAKKA-NO^FE_TIMESERIES(CURRENTASSETS,MEAN,2016,2026,CY,'BKRACTMED=1,WIN=0,CURRENCY=USD,UNITS=AUTO,CALC=CALA,DATE=NOW')&lt;/Q&gt;&lt;R&gt;11&lt;/R&gt;&lt;C&gt;1&lt;/C&gt;&lt;D xsi:type="xsd:double"&gt;407.0589&lt;/D&gt;&lt;D xsi:type="xsd:double"&gt;353.29602&lt;/D&gt;&lt;D xsi:type="xsd:double"&gt;365.48962&lt;/D&gt;&lt;D xsi:type="xsd:double"&gt;654.8129&lt;/D&gt;&lt;D xsi:type="xsd:double"&gt;650.2791&lt;/D&gt;&lt;D xsi:type="xsd:double"&gt;749.3829&lt;/D&gt;&lt;D xsi:type="xsd:double"&gt;882.7591&lt;/D&gt;&lt;D xsi:type="xsd:double"&gt;1086.5337&lt;/D&gt;&lt;D xsi:type="xsd:string"&gt;@NA&lt;/D&gt;&lt;D xsi:type="xsd:string"&gt;@NA&lt;/D&gt;&lt;D xsi:type="xsd:string"&gt;@NA&lt;/D&gt;&lt;/FQL&gt;&lt;FQL&gt;&lt;Q&gt;BAKKA-NO^FE_TIMESERIES(CURRENTLIABILITIES,MEAN,2016,2026,CY,'BKRACTMED=1,WIN=0,CURRENCY=USD,UNITS=AUTO,CALC=CALA,DATE=NOW')&lt;/Q&gt;&lt;R&gt;11&lt;/R&gt;&lt;C&gt;1&lt;/C&gt;&lt;D xsi:type="xsd:double"&gt;56.39715&lt;/D&gt;&lt;D xsi:type="xsd:double"&gt;143.09152&lt;/D&gt;&lt;D xsi:type="xsd:double"&gt;57.57297&lt;/D&gt;&lt;D xsi:type="xsd:double"&gt;135.53412&lt;/D&gt;&lt;D xsi:type="xsd:double"&gt;125.68146&lt;/D&gt;&lt;D xsi:type="xsd:double"&gt;134.09048&lt;/D&gt;&lt;D xsi:type="xsd:double"&gt;152.70204&lt;/D&gt;&lt;D xsi:type="xsd:double"&gt;171.85594&lt;/D&gt;&lt;D xsi:type="xsd:string"&gt;@NA&lt;/D&gt;&lt;D xsi:type="xsd:string"&gt;@NA&lt;/D&gt;&lt;D xsi:type="xsd:string"&gt;@NA&lt;/D&gt;&lt;/FQL&gt;&lt;FQL&gt;&lt;Q&gt;BAKKA-NO^FE_TIMESERIES(TOTASSET,MEAN,2016,2026,CY,'BKRACTMED=1,WIN=0,CURRENCY=USD,UNITS=AUTO,CALC=CALA,DATE=NOW')&lt;/Q&gt;&lt;R&gt;11&lt;/R&gt;&lt;C&gt;1&lt;/C&gt;&lt;D xsi:type="xsd:double"&gt;773.569&lt;/D&gt;&lt;D xsi:type="xsd:double"&gt;854.4063&lt;/D&gt;&lt;D xsi:type="xsd:double"&gt;881.5197&lt;/D&gt;&lt;D xsi:type="xsd:double"&gt;1919.6027&lt;/D&gt;&lt;D xsi:type="xsd:double"&gt;2151.7644&lt;/D&gt;&lt;D xsi:type="xsd:double"&gt;2324.2087&lt;/D&gt;&lt;D xsi:type="xsd:double"&gt;2479.6091&lt;/D&gt;&lt;D xsi:type="xsd:double"&gt;2663.6506&lt;/D&gt;&lt;D xsi:type="xsd:string"&gt;@NA&lt;/D&gt;&lt;D xsi:type="xsd:string"&gt;@NA&lt;/D&gt;&lt;D xsi:type="xsd:string"&gt;@NA&lt;/D&gt;&lt;/FQL&gt;&lt;FQL&gt;&lt;Q&gt;BAKKA-NO^FE_TIMESERIES(DEBT_ST,MEAN,2016,2026,CY,'BKRACTMED=1,WIN=0,CURRENCY=USD,UNITS=AUTO,CALC=CALA,DATE=NOW')&lt;/Q&gt;&lt;R&gt;11&lt;/R&gt;&lt;C&gt;1&lt;/C&gt;&lt;D xsi:type="xsd:string"&gt;@NA&lt;/D&gt;&lt;D xsi:type="xsd:double"&gt;62.63879&lt;/D&gt;&lt;D xsi:type="xsd:double"&gt;0&lt;/D&gt;&lt;D xsi:type="xsd:double"&gt;15.824524&lt;/D&gt;&lt;D xsi:type="xsd:double"&gt;21.38217&lt;/D&gt;&lt;D xsi:type="xsd:double"&gt;10.3573885&lt;/D&gt;&lt;D xsi:type="xsd:double"&gt;22.262434&lt;/D&gt;&lt;D xsi:type="xsd:double"&gt;10.3573885&lt;/D&gt;&lt;D xsi:type="xsd:string"&gt;@NA&lt;/D&gt;&lt;D xsi:type="xsd:string"&gt;@NA&lt;/D&gt;&lt;D xsi:type="xsd:string"&gt;@NA&lt;/D&gt;&lt;/FQL&gt;&lt;FQL&gt;&lt;Q&gt;BAKKA-NO^FE_TIMESERIES(DEBT_LT,MEAN,2016,2026,CY,'BKRACTMED=1,WIN=0,CURRENCY=USD,UNITS=AUTO,CALC=CALA,DATE=NOW')&lt;/Q&gt;&lt;R&gt;11&lt;/R&gt;&lt;C&gt;1&lt;/C&gt;&lt;D xsi:type="xsd:string"&gt;@NA&lt;/D&gt;&lt;D xsi:type="xsd:double"&gt;24.35953&lt;/D&gt;&lt;D xsi:type="xsd:double"&gt;123.34895&lt;/D&gt;&lt;D xsi:type="xsd:double"&gt;357.66354&lt;/D&gt;&lt;D xsi:type="xsd:double"&gt;383.98132&lt;/D&gt;&lt;D xsi:type="xsd:double"&gt;379.75507&lt;/D&gt;&lt;D xsi:type="xsd:double"&gt;369.9453&lt;/D&gt;&lt;D xsi:type="xsd:double"&gt;370.58023&lt;/D&gt;&lt;D xsi:type="xsd:string"&gt;@NA&lt;/D&gt;&lt;D xsi:type="xsd:string"&gt;@NA&lt;/D&gt;&lt;D xsi:type="xsd:string"&gt;@NA&lt;/D&gt;&lt;/FQL&gt;&lt;FQL&gt;&lt;Q&gt;BAKKA-NO^FE_TIMESERIES(TOTALDEBT,MEAN,2016,2026,CY,'BKRACTMED=1,WIN=0,CURRENCY=USD,UNITS=AUTO,CALC=CALA,DATE=NOW')&lt;/Q&gt;&lt;R&gt;11&lt;/R&gt;&lt;C&gt;1&lt;/C&gt;&lt;D xsi:type="xsd:double"&gt;124.21651&lt;/D&gt;&lt;D xsi:type="xsd:double"&gt;115.1692&lt;/D&gt;&lt;D xsi:type="xsd:double"&gt;123.34895&lt;/D&gt;&lt;D xsi:type="xsd:double"&gt;390.0452&lt;/D&gt;&lt;D xsi:type="xsd:double"&gt;426.9905&lt;/D&gt;&lt;D xsi:type="xsd:double"&gt;444.9312&lt;/D&gt;&lt;D xsi:type="xsd:double"&gt;444.9312&lt;/D&gt;&lt;D xsi:type="xsd:string"&gt;@NA&lt;/D&gt;&lt;D xsi:type="xsd:string"&gt;@NA&lt;/D&gt;&lt;D xsi:type="xsd:string"&gt;@NA&lt;/D&gt;&lt;D xsi:type="xsd:string"&gt;@NA&lt;/D&gt;&lt;/FQL&gt;&lt;FQL&gt;&lt;Q&gt;BAKKA-NO^FE_TIMESERIES(INTANG,MEAN,2016,2026,CY,'BKRACTMED=1,WIN=0,CURRENCY=USD,UNITS=AUTO,CALC=CALA,DATE=NOW')&lt;/Q&gt;&lt;R&gt;11&lt;/R&gt;&lt;C&gt;1&lt;/C&gt;&lt;D xsi:type="xsd:double"&gt;53.827152&lt;/D&gt;&lt;D xsi:type="xsd:double"&gt;62.473076&lt;/D&gt;&lt;D xsi:type="xsd:double"&gt;59.243958&lt;/D&gt;&lt;D xsi:type="xsd:double"&gt;644.11676&lt;/D&gt;&lt;D xsi:type="xsd:double"&gt;733.35944&lt;/D&gt;&lt;D xsi:type="xsd:double"&gt;628.38794&lt;/D&gt;&lt;D xsi:type="xsd:double"&gt;628.38794&lt;/D&gt;&lt;D xsi:type="xsd:double"&gt;600.0143&lt;/D&gt;&lt;D xsi:type="xsd:string"&gt;@NA&lt;/D&gt;&lt;D xsi:type="xsd:string"&gt;@NA&lt;/D&gt;&lt;D xsi:type="xsd:string"&gt;@NA&lt;/D&gt;&lt;/FQL&gt;&lt;FQL&gt;&lt;Q&gt;BAKKA-NO^FE_TIMESERIES(TOTGW,MEAN,2016,2026,CY,'BKRACTMED=1,WIN=0,CURRENCY=USD,UNITS=AUTO,CALC=CALA,DATE=NOW')&lt;/Q&gt;&lt;R&gt;11&lt;/R&gt;&lt;C&gt;1&lt;/C&gt;&lt;D xsi:type="xsd:double"&gt;0&lt;/D&gt;&lt;D xsi:type="xsd:double"&gt;0.8285554&lt;/D&gt;&lt;D xsi:type="xsd:double"&gt;0.37976894&lt;/D&gt;&lt;D xsi:type="xsd:double"&gt;0&lt;/D&gt;&lt;D xsi:type="xsd:double"&gt;0&lt;/D&gt;&lt;D xsi:type="xsd:double"&gt;0.26455656&lt;/D&gt;&lt;D xsi:type="xsd:double"&gt;0.26455656&lt;/D&gt;&lt;D xsi:type="xsd:double"&gt;0.26455656&lt;/D&gt;&lt;D xsi:type="xsd:string"&gt;@NA&lt;/D&gt;&lt;D xsi:type="xsd:string"&gt;@NA&lt;/D&gt;&lt;D xsi:type="xsd:string"&gt;@NA&lt;/D&gt;&lt;/FQL&gt;&lt;FQL&gt;&lt;Q&gt;BAKKA-NO^FE_TIMESERIES(NETDEBT,MEAN,2016,2026,CY,'BKRACTMED=1,WIN=0,CURRENCY=USD,UNITS=AUTO,CALC=CALA,DATE=NOW')&lt;/Q&gt;&lt;R&gt;11&lt;/R&gt;&lt;C&gt;1&lt;/C&gt;&lt;D xsi:type="xsd:double"&gt;87.594055&lt;/D&gt;&lt;D xsi:type="xsd:double"&gt;35.69831&lt;/D&gt;&lt;D xsi:type="xsd:double"&gt;75.19425&lt;/D&gt;&lt;D xsi:type="xsd:double"&gt;198.0996&lt;/D&gt;&lt;D xsi:type="xsd:double"&gt;350.7655&lt;/D&gt;&lt;D xsi:type="xsd:double"&gt;282.2809&lt;/D&gt;&lt;D xsi:type="xsd:double"&gt;198.9506&lt;/D&gt;&lt;D xsi:type="xsd:double"&gt;87.84335&lt;/D&gt;&lt;D xsi:type="xsd:double"&gt;4.7948623&lt;/D&gt;&lt;D xsi:type="xsd:string"&gt;@NA&lt;/D&gt;&lt;D xsi:type="xsd:string"&gt;@NA&lt;/D&gt;&lt;/FQL&gt;&lt;FQL&gt;&lt;Q&gt;BAKKA-NO^FE_TIMESERIES(WKCAP,MEAN,2016,2026,CY,'BKRACTMED=1,WIN=0,CURRENCY=USD,UNITS=AUTO,CALC=CALA,DATE=NOW')&lt;/Q&gt;&lt;R&gt;11&lt;/R&gt;&lt;C&gt;1&lt;/C&gt;&lt;D xsi:type="xsd:string"&gt;@NA&lt;/D&gt;&lt;D xsi:type="xsd:double"&gt;232.16122&lt;/D&gt;&lt;D xsi:type="xsd:double"&gt;259.91388&lt;/D&gt;&lt;D xsi:type="xsd:double"&gt;343.15775&lt;/D&gt;&lt;D xsi:type="xsd:double"&gt;469.75485&lt;/D&gt;&lt;D xsi:type="xsd:double"&gt;535.84607&lt;/D&gt;&lt;D xsi:type="xsd:double"&gt;578.90265&lt;/D&gt;&lt;D xsi:type="xsd:double"&gt;599.7497&lt;/D&gt;&lt;D xsi:type="xsd:string"&gt;@NA&lt;/D&gt;&lt;D xsi:type="xsd:string"&gt;@NA&lt;/D&gt;&lt;D xsi:type="xsd:string"&gt;@NA&lt;/D&gt;&lt;/FQL&gt;&lt;FQL&gt;&lt;Q&gt;BAKKA-NO^FE_TIMESERIES(MINTEREST,MEAN,2016,2026,CY,'BKRACTMED=1,WIN=0,CURRENCY=USD,UNITS=AUTO,CALC=CALA,DATE=NOW')&lt;/Q&gt;&lt;R&gt;11&lt;/R&gt;&lt;C&gt;1&lt;/C&gt;&lt;D xsi:type="xsd:double"&gt;0&lt;/D&gt;&lt;D xsi:type="xsd:double"&gt;0&lt;/D&gt;&lt;D xsi:type="xsd:double"&gt;0&lt;/D&gt;&lt;D xsi:type="xsd:double"&gt;24.615927&lt;/D&gt;&lt;D xsi:type="xsd:double"&gt;0&lt;/D&gt;&lt;D xsi:type="xsd:double"&gt;0&lt;/D&gt;&lt;D xsi:type="xsd:double"&gt;0&lt;/D&gt;&lt;D xsi:type="xsd:double"&gt;0&lt;/D&gt;&lt;D xsi:type="xsd:string"&gt;@NA&lt;/D&gt;&lt;D xsi:type="xsd:string"&gt;@NA&lt;/D&gt;&lt;D xsi:type="xsd:string"&gt;@NA&lt;/D&gt;&lt;/FQL&gt;&lt;FQL&gt;&lt;Q&gt;BAKKA-NO^FE_TIMESERIES(SHEQUITY,MEAN,2016,2026,CY,'BKRACTMED=1,WIN=0,CURRENCY=USD,UNITS=AUTO,CALC=CALA,DATE=NOW')&lt;/Q&gt;&lt;R&gt;11&lt;/R&gt;&lt;C&gt;1&lt;/C&gt;&lt;D xsi:type="xsd:double"&gt;506.71768&lt;/D&gt;&lt;D xsi:type="xsd:double"&gt;600.86835&lt;/D&gt;&lt;D xsi:type="xsd:double"&gt;619.3272&lt;/D&gt;&lt;D xsi:type="xsd:double"&gt;1232.7012&lt;/D&gt;&lt;D xsi:type="xsd:double"&gt;1424.7706&lt;/D&gt;&lt;D xsi:type="xsd:double"&gt;1568.7675&lt;/D&gt;&lt;D xsi:type="xsd:double"&gt;1718.8503&lt;/D&gt;&lt;D xsi:type="xsd:double"&gt;1880.013&lt;/D&gt;&lt;D xsi:type="xsd:string"&gt;@NA&lt;/D&gt;&lt;D xsi:type="xsd:string"&gt;@NA&lt;/D&gt;&lt;D xsi:type="xsd:string"&gt;@NA&lt;/D&gt;&lt;/FQL&gt;&lt;FQL&gt;&lt;Q&gt;BAKKA-NO^FE_TIMESERIES(CAPEX,MEAN,2016,2026,CY,'BKRACTMED=1,WIN=0,CURRENCY=USD,UNITS=AUTO,CALC=CALA,DATE=NOW')&lt;/Q&gt;&lt;R&gt;11&lt;/R&gt;&lt;C&gt;1&lt;/C&gt;&lt;D xsi:type="xsd:double"&gt;98.060005&lt;/D&gt;&lt;D xsi:type="xsd:double"&gt;105.39225&lt;/D&gt;&lt;D xsi:type="xsd:double"&gt;78.53622&lt;/D&gt;&lt;D xsi:type="xsd:double"&gt;102.859406&lt;/D&gt;&lt;D xsi:type="xsd:double"&gt;133.35292&lt;/D&gt;&lt;D xsi:type="xsd:double"&gt;171.9406&lt;/D&gt;&lt;D xsi:type="xsd:double"&gt;121.71718&lt;/D&gt;&lt;D xsi:type="xsd:double"&gt;113.63332&lt;/D&gt;&lt;D xsi:type="xsd:string"&gt;@NA&lt;/D&gt;&lt;D xsi:type="xsd:string"&gt;@NA&lt;/D&gt;&lt;D xsi:type="xsd:string"&gt;@NA&lt;/D&gt;&lt;/FQL&gt;&lt;FQL&gt;&lt;Q&gt;BAKKA-NO^FE_TIMESERIES(FCF,MEAN,2016,2026,CY,'BKRACTMED=1,WIN=0,CURRENCY=USD,UNITS=AUTO,CALC=CALA,DATE=NOW')&lt;/Q&gt;&lt;R&gt;11&lt;/R&gt;&lt;C&gt;1&lt;/C&gt;&lt;D xsi:type="xsd:double"&gt;15.705535&lt;/D&gt;&lt;D xsi:type="xsd:double"&gt;135.22025&lt;/D&gt;&lt;D xsi:type="xsd:double"&gt;57.269157&lt;/D&gt;&lt;D xsi:type="xsd:double"&gt;-522.35583&lt;/D&gt;&lt;D xsi:type="xsd:double"&gt;-55.822155&lt;/D&gt;&lt;D xsi:type="xsd:double"&gt;81.957504&lt;/D&gt;&lt;D xsi:type="xsd:double"&gt;165.25471&lt;/D&gt;&lt;D xsi:type="xsd:double"&gt;251.83138&lt;/D&gt;&lt;D xsi:type="xsd:string"&gt;@NA&lt;/D&gt;&lt;D xsi:type="xsd:string"&gt;@NA&lt;/D&gt;&lt;D xsi:type="xsd:string"&gt;@NA&lt;/D&gt;&lt;/FQL&gt;&lt;FQL&gt;&lt;Q&gt;BAKKA-NO^FE_TIMESERIES(CFO,MEAN,2016,2026,CY,'BKRACTMED=1,WIN=0,CURRENCY=USD,UNITS=AUTO,CALC=CALA,DATE=NOW')&lt;/Q&gt;&lt;R&gt;11&lt;/R&gt;&lt;C&gt;1&lt;/C&gt;&lt;D xsi:type="xsd:double"&gt;121.360954&lt;/D&gt;&lt;D xsi:type="xsd:double"&gt;241.02676&lt;/D&gt;&lt;D xsi:type="xsd:double"&gt;138.67644&lt;/D&gt;&lt;D xsi:type="xsd:double"&gt;150.4795&lt;/D&gt;&lt;D xsi:type="xsd:double"&gt;77.367546&lt;/D&gt;&lt;D xsi:type="xsd:double"&gt;234.577&lt;/D&gt;&lt;D xsi:type="xsd:double"&gt;290.51483&lt;/D&gt;&lt;D xsi:type="xsd:double"&gt;356.0799&lt;/D&gt;&lt;D xsi:type="xsd:string"&gt;@NA&lt;/D&gt;&lt;D xsi:type="xsd:string"&gt;@NA&lt;/D&gt;&lt;D xsi:type="xsd:string"&gt;@NA&lt;/D&gt;&lt;/FQL&gt;&lt;FQL&gt;&lt;Q&gt;BAKKA-NO^FE_TIMESERIES(CFI,MEAN,2016,2026,CY,'BKRACTMED=1,WIN=0,CURRENCY=USD,UNITS=AUTO,CALC=CALA,DATE=NOW')&lt;/Q&gt;&lt;R&gt;11&lt;/R&gt;&lt;C&gt;1&lt;/C&gt;&lt;D xsi:type="xsd:double"&gt;-105.65542&lt;/D&gt;&lt;D xsi:type="xsd:double"&gt;-105.39225&lt;/D&gt;&lt;D xsi:type="xsd:double"&gt;-80.662926&lt;/D&gt;&lt;D xsi:type="xsd:double"&gt;-673.7145&lt;/D&gt;&lt;D xsi:type="xsd:double"&gt;-133.43454&lt;/D&gt;&lt;D xsi:type="xsd:double"&gt;-164.39545&lt;/D&gt;&lt;D xsi:type="xsd:double"&gt;-131.74916&lt;/D&gt;&lt;D xsi:type="xsd:double"&gt;-103.177055&lt;/D&gt;&lt;D xsi:type="xsd:string"&gt;@NA&lt;/D&gt;&lt;D xsi:type="xsd:string"&gt;@NA&lt;/D&gt;&lt;D xsi:type="xsd:string"&gt;@NA&lt;/D&gt;&lt;/FQL&gt;&lt;FQL&gt;&lt;Q&gt;BAKKA-NO^FE_TIMESERIES(CFF,MEAN,2016,2026,CY,'BKRACTMED=1,WIN=0,CURRENCY=USD,UNITS=AUTO,CALC=CALA,DATE=NOW')&lt;/Q&gt;&lt;R&gt;11&lt;/R&gt;&lt;C&gt;1&lt;/C&gt;&lt;D xsi:type="xsd:double"&gt;-0.49972156&lt;/D&gt;&lt;D xsi:type="xsd:double"&gt;-123.95189&lt;/D&gt;&lt;D xsi:type="xsd:double"&gt;-56.965343&lt;/D&gt;&lt;D xsi:type="xsd:double"&gt;668.3517&lt;/D&gt;&lt;D xsi:type="xsd:double"&gt;-54.35315&lt;/D&gt;&lt;D xsi:type="xsd:double"&gt;-31.11185&lt;/D&gt;&lt;D xsi:type="xsd:double"&gt;-76.45684&lt;/D&gt;&lt;D xsi:type="xsd:double"&gt;-115.39957&lt;/D&gt;&lt;D xsi:type="xsd:string"&gt;@NA&lt;/D&gt;&lt;D xsi:type="xsd:string"&gt;@NA&lt;/D&gt;&lt;D xsi:type="xsd:string"&gt;@NA&lt;/D&gt;&lt;/FQL&gt;&lt;FQL&gt;&lt;Q&gt;BAKKA-NO^FE_TIMESERIES(NETDIV,MEAN,2016,2026,CY,'BKRACTMED=1,WIN=0,CURRENCY=USD,UNITS=AUTO,CALC=CALA,DATE=NOW')&lt;/Q&gt;&lt;R&gt;11&lt;/R&gt;&lt;C&gt;1&lt;/C&gt;&lt;D xsi:type="xsd:double"&gt;1.2403688&lt;/D&gt;&lt;D xsi:type="xsd:double"&gt;1.7374475&lt;/D&gt;&lt;D xsi:type="xsd:double"&gt;1.2514266&lt;/D&gt;&lt;D xsi:type="xsd:double"&gt;1.2014916&lt;/D&gt;&lt;D xsi:type="xsd:double"&gt;0.5957627&lt;/D&gt;&lt;D xsi:type="xsd:double"&gt;1.3882484&lt;/D&gt;&lt;D xsi:type="xsd:double"&gt;1.9450977&lt;/D&gt;&lt;D xsi:type="xsd:double"&gt;2.041829&lt;/D&gt;&lt;D xsi:type="xsd:double"&gt;2.0144866&lt;/D&gt;&lt;D xsi:type="xsd:string"&gt;@NA&lt;/D&gt;&lt;D xsi:type="xsd:string"&gt;@NA&lt;/D&gt;&lt;/FQL&gt;&lt;FQL&gt;&lt;Q&gt;BAKKA-NO^FE_TIMESERIES(CFPS,MEAN,2016,2026,CY,'BKRACTMED=1,WIN=0,CURRENCY=USD,UNITS=AUTO,CALC=CALA,DATE=NOW')&lt;/Q&gt;&lt;R&gt;11&lt;/R&gt;&lt;C&gt;1&lt;/C&gt;&lt;D xsi:type="xsd:double"&gt;1.7108496&lt;/D&gt;&lt;D xsi:type="xsd:double"&gt;5.060112&lt;/D&gt;&lt;D xsi:type="xsd:double"&gt;1.9887781&lt;/D&gt;&lt;D xsi:type="xsd:double"&gt;2.6824527&lt;/D&gt;&lt;D xsi:type="xsd:double"&gt;1.3182203&lt;/D&gt;&lt;D xsi:type="xsd:double"&gt;3.429619&lt;/D&gt;&lt;D xsi:type="xsd:double"&gt;4.896688&lt;/D&gt;&lt;D xsi:type="xsd:double"&gt;5.244446&lt;/D&gt;&lt;D xsi:type="xsd:string"&gt;@NA&lt;/D&gt;&lt;D xsi:type="xsd:string"&gt;@NA&lt;/D&gt;&lt;D xsi:type="xsd:string"&gt;@NA&lt;/D&gt;&lt;/FQL&gt;&lt;FQL&gt;&lt;Q&gt;BAKKA-NO^FE_TIMESERIES(BVPS,MEAN,2016,2026,CY,'BKRACTMED=1,WIN=0,CURRENCY=USD,UNITS=AUTO,CALC=CALA,DATE=NOW')&lt;/Q&gt;&lt;R&gt;11&lt;/R&gt;&lt;C&gt;1&lt;/C&gt;&lt;D xsi:type="xsd:double"&gt;10.4077015&lt;/D&gt;&lt;D xsi:type="xsd:double"&gt;12.350629&lt;/D&gt;&lt;D xsi:type="xsd:double"&gt;12.686195&lt;/D&gt;&lt;D xsi:type="xsd:double"&gt;21.700111&lt;/D&gt;&lt;D xsi:type="xsd:double"&gt;24.091665&lt;/D&gt;&lt;D xsi:type="xsd:double"&gt;26.47427&lt;/D&gt;&lt;D xsi:type="xsd:double"&gt;28.541908&lt;/D&gt;&lt;D xsi:type="xsd:double"&gt;30.515621&lt;/D&gt;&lt;D xsi:type="xsd:double"&gt;31.892279&lt;/D&gt;&lt;D xsi:type="xsd:string"&gt;@NA&lt;/D&gt;&lt;D xsi:type="xsd:string"&gt;@NA&lt;/D&gt;&lt;/FQL&gt;&lt;FQL&gt;&lt;Q&gt;BAKKA-NO^PROPER(CONVERT_DATE(FE_TIMESERIES_PERIOD(,2016,2026,FY,'DISPLAY=YYYYMMDD'),"MMM 'YY"))&lt;/Q&gt;&lt;R&gt;11&lt;/R&gt;&lt;C&gt;1&lt;/C&gt;&lt;D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'25&lt;/D&gt;&lt;D xsi:type="xsd:string"&gt;Dec '26&lt;/D&gt;&lt;/FQL&gt;&lt;FQL&gt;&lt;Q&gt;BAKKA-NO^FE_TIMESERIES_VALUATION(ROA,MEAN,2016,2026,FY,'BKRACTMED=1,WIN=0,UNITS=AUTO,DATE=NOW')&lt;/Q&gt;&lt;R&gt;11&lt;/R&gt;&lt;C&gt;1&lt;/C&gt;&lt;D xsi:type="xsd:double"&gt;24.713917&lt;/D&gt;&lt;D xsi:type="xsd:double"&gt;9.918561&lt;/D&gt;&lt;D xsi:type="xsd:double"&gt;16.543167&lt;/D&gt;&lt;D xsi:type="xsd:double"&gt;6.1207924&lt;/D&gt;&lt;D xsi:type="xsd:double"&gt;2.7769325&lt;/D&gt;&lt;D xsi:type="xsd:double"&gt;7.739805&lt;/D&gt;&lt;D xsi:type="xsd:double"&gt;9.357628&lt;/D&gt;&lt;D xsi:type="xsd:double"&gt;9.731476&lt;/D&gt;&lt;D xsi:type="xsd:string"&gt;@NA&lt;/D&gt;&lt;D xsi:type="xsd:string"&gt;@NA&lt;/D&gt;&lt;D xsi:type="xsd:string"&gt;@NA&lt;/D&gt;&lt;/FQL&gt;&lt;FQL&gt;&lt;Q&gt;BAKKA-NO^FE_TIMESERIES_VALUATION(ROE,MEAN,2016,2026,FY,'BKRACTMED=1,WIN=0,UNITS=AUTO,DATE=NOW')&lt;/Q&gt;&lt;R&gt;11&lt;/R&gt;&lt;C&gt;1&lt;/C&gt;&lt;D xsi:type="xsd:double"&gt;24.024515&lt;/D&gt;&lt;D xsi:type="xsd:double"&gt;28.19199&lt;/D&gt;&lt;D xsi:type="xsd:double"&gt;19.657207&lt;/D&gt;&lt;D xsi:type="xsd:double"&gt;12.856178&lt;/D&gt;&lt;D xsi:type="xsd:double"&gt;4.200542&lt;/D&gt;&lt;D xsi:type="xsd:double"&gt;10.44976&lt;/D&gt;&lt;D xsi:type="xsd:double"&gt;13.648764&lt;/D&gt;&lt;D xsi:type="xsd:double"&gt;14.213199&lt;/D&gt;&lt;D xsi:type="xsd:double"&gt;14.036741&lt;/D&gt;&lt;D xsi:type="xsd:string"&gt;@NA&lt;/D&gt;&lt;D xsi:type="xsd:string"&gt;@NA&lt;/D&gt;&lt;/FQL&gt;&lt;FQL&gt;&lt;Q&gt;SALM-NO^PROPER(CONVERT_DATE(FE_TIMESERIES_PERIOD(,2016,2026,CY,''),"MMM 'YY"))&lt;/Q&gt;&lt;R&gt;11&lt;/R&gt;&lt;C&gt;1&lt;/C&gt;&lt;D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'25&lt;/D&gt;&lt;D xsi:type="xsd:string"&gt;Dec '26&lt;/D&gt;&lt;/FQL&gt;&lt;FQL&gt;&lt;Q&gt;SALM-NO^FE_TIMESERIES_PERIOD(,2016,2026,CY,'')&lt;/Q&gt;&lt;R&gt;11&lt;/R&gt;&lt;C&gt;1&lt;/C&gt;&lt;D xsi:type="xsd:string"&gt;2016&lt;/D&gt;&lt;D xsi:type="xsd:string"&gt;2017&lt;/D&gt;&lt;D xsi:type="xsd:string"&gt;2018&lt;/D&gt;&lt;D xsi:type="xsd:string"&gt;2019&lt;/D&gt;&lt;D xsi:type="xsd:string"&gt;2020&lt;/D&gt;&lt;D xsi:type="xsd:string"&gt;2021&lt;/D&gt;&lt;D xsi:type="xsd:string"&gt;2022&lt;/D&gt;&lt;D xsi:type="xsd:string"&gt;2023&lt;/D&gt;&lt;D xsi:type="xsd:string"&gt;2024&lt;/D&gt;&lt;D xsi:type="xsd:string"&gt;2025&lt;/D&gt;&lt;D xsi:type="xsd:string"&gt;2026&lt;/D&gt;&lt;/FQL&gt;&lt;FQL&gt;&lt;Q&gt;SALM-NO^FE_TIMESERIES(EPS,MEAN,2016,2026,CY,'BKRACTMED=1,WIN=0,CURRENCY=USD,UNITS=AUTO,CALC=CALA,DATE=NOW')&lt;/Q&gt;&lt;R&gt;11&lt;/R&gt;&lt;C&gt;1&lt;/C&gt;&lt;D xsi:type="xsd:double"&gt;2.2318463&lt;/D&gt;&lt;D xsi:type="xsd:double"&gt;3.0062342&lt;/D&gt;&lt;D xsi:type="xsd:double"&gt;2.922043&lt;/D&gt;&lt;D xsi:type="xsd:double"&gt;2.3443778&lt;/D&gt;&lt;D xsi:type="xsd:double"&gt;2.0707414&lt;/D&gt;&lt;D xsi:type="xsd:double"&gt;2.7979393&lt;/D&gt;&lt;D xsi:type="xsd:double"&gt;3.5987859&lt;/D&gt;&lt;D xsi:type="xsd:double"&gt;3.9077473&lt;/D&gt;&lt;D xsi:type="xsd:double"&gt;4.0616474&lt;/D&gt;&lt;D xsi:type="xsd:string"&gt;@NA&lt;/D&gt;&lt;D xsi:type="xsd:string"&gt;@NA&lt;/D&gt;&lt;/FQL&gt;&lt;FQL&gt;&lt;Q&gt;SALM-NO^FE_TIMESERIES(EAG,MEAN,2016,2026,CY,'BKRACTMED=1,WIN=0,CURRENCY=USD,UNITS=AUTO,CALC=CALA,DATE=NOW')&lt;/Q&gt;&lt;R&gt;11&lt;/R&gt;&lt;C&gt;1&lt;/C&gt;&lt;D xsi:type="xsd:double"&gt;2.7875648&lt;/D&gt;&lt;D xsi:type="xsd:double"&gt;2.58587&lt;/D&gt;&lt;D xsi:type="xsd:double"&gt;3.644789&lt;/D&gt;&lt;D xsi:type="xsd:double"&gt;2.3419237&lt;/D&gt;&lt;D xsi:type="xsd:double"&gt;2.0707414&lt;/D&gt;&lt;D xsi:type="xsd:double"&gt;3.1877277&lt;/D&gt;&lt;D xsi:type="xsd:double"&gt;3.5987678&lt;/D&gt;&lt;D xsi:type="xsd:double"&gt;3.900855&lt;/D&gt;&lt;D xsi:type="xsd:double"&gt;4.0616474&lt;/D&gt;&lt;D xsi:type="xsd:string"&gt;@NA&lt;/D&gt;&lt;D xsi:type="xsd:string"&gt;@NA&lt;/D&gt;&lt;/FQL&gt;&lt;FQL&gt;&lt;Q&gt;SALM-NO^FE_TIMESERIES(EBG,MEAN,2016,2026,CY,'BKRACTMED=1,WIN=0,CURRENCY=USD,UNITS=AUTO,CALC=CALA,DATE=NOW')&lt;/Q&gt;&lt;R&gt;11&lt;/R&gt;&lt;C&gt;1&lt;/C&gt;&lt;D xsi:type="xsd:double"&gt;2.2264626&lt;/D&gt;&lt;D xsi:type="xsd:double"&gt;3.0062342&lt;/D&gt;&lt;D xsi:type="xsd:double"&gt;2.922043&lt;/D&gt;&lt;D xsi:type="xsd:double"&gt;2.2570562&lt;/D&gt;&lt;D xsi:type="xsd:double"&gt;2.2589908&lt;/D&gt;&lt;D xsi:type="xsd:double"&gt;2.5980465&lt;/D&gt;&lt;D xsi:type="xsd:double"&gt;3.5576785&lt;/D&gt;&lt;D xsi:type="xsd:double"&gt;3.9077473&lt;/D&gt;&lt;D xsi:type="xsd:double"&gt;4.0616474&lt;/D&gt;&lt;D xsi:type="xsd:string"&gt;@NA&lt;/D&gt;&lt;D xsi:type="xsd:string"&gt;@NA&lt;/D&gt;&lt;/FQL&gt;&lt;FQL&gt;&lt;Q&gt;SALM-NO^FE_TIMESERIES(SALES,MEAN,2016,2026,CY,'BKRACTMED=1,WIN=0,CURRENCY=USD,UNITS=AUTO,CALC=CALA,DATE=NOW')&lt;/Q&gt;&lt;R&gt;11&lt;/R&gt;&lt;C&gt;1&lt;/C&gt;&lt;D xsi:type="xsd:double"&gt;1080.3308&lt;/D&gt;&lt;D xsi:type="xsd:double"&gt;1386.1187&lt;/D&gt;&lt;D xsi:type="xsd:double"&gt;1303.4802&lt;/D&gt;&lt;D xsi:type="xsd:double"&gt;1302.2949&lt;/D&gt;&lt;D xsi:type="xsd:double"&gt;1528.7614&lt;/D&gt;&lt;D xsi:type="xsd:double"&gt;1665.0215&lt;/D&gt;&lt;D xsi:type="xsd:double"&gt;1924.7788&lt;/D&gt;&lt;D xsi:type="xsd:double"&gt;2056.7534&lt;/D&gt;&lt;D xsi:type="xsd:double"&gt;2058.1504&lt;/D&gt;&lt;D xsi:type="xsd:string"&gt;@NA&lt;/D&gt;&lt;D xsi:type="xsd:string"&gt;@NA&lt;/D&gt;&lt;/FQL&gt;&lt;FQL&gt;&lt;Q&gt;SALM-NO^FE_TIMESERIES(COS,MEAN,2016,2026,CY,'BKRACTMED=1,WIN=0,CURRENCY=USD,UNITS=AUTO,CALC=CALA,DATE=NOW')&lt;/Q&gt;&lt;R&gt;11&lt;/R&gt;&lt;C&gt;1&lt;/C&gt;&lt;D xsi:type="xsd:double"&gt;478.6715&lt;/D&gt;&lt;D xsi:type="xsd:double"&gt;605.20636&lt;/D&gt;&lt;D xsi:type="xsd:double"&gt;529.0053&lt;/D&gt;&lt;D xsi:type="xsd:double"&gt;899.4408&lt;/D&gt;&lt;D xsi:type="xsd:double"&gt;885.8369&lt;/D&gt;&lt;D xsi:type="xsd:double"&gt;1005.93317&lt;/D&gt;&lt;D xsi:type="xsd:double"&gt;1134.245&lt;/D&gt;&lt;D xsi:type="xsd:double"&gt;1370.3643&lt;/D&gt;&lt;D xsi:type="xsd:string"&gt;@NA&lt;/D&gt;&lt;D xsi:type="xsd:string"&gt;@NA&lt;/D&gt;&lt;D xsi:type="xsd:string"&gt;@NA&lt;/D&gt;&lt;/FQL&gt;&lt;FQL&gt;&lt;Q&gt;SALM-NO^FE_TIMESERIES(LCUR_GRTH,MEAN,2016,2026,CY,'BKRACTMED=1,WIN=0,CURRENCY=USD,UNITS=AUTO,CALC=CALA,DATE=NOW')&lt;/Q&gt;&lt;R&gt;11&lt;/R&gt;&lt;C&gt;1&lt;/C&gt;&lt;D xsi:type="xsd:double"&gt;33.2&lt;/D&gt;&lt;D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xsi:type="xsd:string"&gt;@NA&lt;/D&gt;&lt;/FQL&gt;&lt;FQL&gt;&lt;Q&gt;SALM-NO^FE_TIMESERIES(GROSSINCOME,MEAN,2016,2026,CY,'BKRACTMED=1,WIN=0,CURRENCY=USD,UNITS=AUTO,CALC=CALA,DATE=NOW')&lt;/Q&gt;&lt;R&gt;11&lt;/R&gt;&lt;C&gt;1&lt;/C&gt;&lt;D xsi:type="xsd:double"&gt;467.72464&lt;/D&gt;&lt;D xsi:type="xsd:double"&gt;781.0148&lt;/D&gt;&lt;D xsi:type="xsd:double"&gt;779.435&lt;/D&gt;&lt;D xsi:type="xsd:double"&gt;402.8967&lt;/D&gt;&lt;D xsi:type="xsd:double"&gt;833.7428&lt;/D&gt;&lt;D xsi:type="xsd:double"&gt;738.2816&lt;/D&gt;&lt;D xsi:type="xsd:double"&gt;1032.6982&lt;/D&gt;&lt;D xsi:type="xsd:double"&gt;1054.5239&lt;/D&gt;&lt;D xsi:type="xsd:string"&gt;@NA&lt;/D&gt;&lt;D xsi:type="xsd:string"&gt;@NA&lt;/D&gt;&lt;D xsi:type="xsd:string"&gt;@NA&lt;/D&gt;&lt;/FQL&gt;&lt;FQL&gt;&lt;Q&gt;SALM-NO^FE_TIMESERIES(SGA,MEAN,2016,2026,CY,'BKRACTMED=1,WIN=0,CURRENCY=USD,UNITS=AUTO,CALC=CALA,DATE=NOW')&lt;/Q&gt;&lt;R&gt;11&lt;/R&gt;&lt;C&gt;1&lt;/C&gt;&lt;D xsi:type="xsd:double"&gt;103.00829&lt;/D&gt;&lt;D xsi:type="xsd:double"&gt;119.04228&lt;/D&gt;&lt;D xsi:type="xsd:double"&gt;119.96632&lt;/D&gt;&lt;D xsi:type="xsd:string"&gt;@NA&lt;/D&gt;&lt;D xsi:type="xsd:double"&gt;156.28238&lt;/D&gt;&lt;D xsi:type="xsd:string"&gt;@NA&lt;/D&gt;&lt;D xsi:type="xsd:string"&gt;@NA&lt;/D&gt;&lt;D xsi:type="xsd:string"&gt;@NA&lt;/D&gt;&lt;D xsi:type="xsd:string"&gt;@NA&lt;/D&gt;&lt;D xsi:type="xsd:string"&gt;@NA&lt;/D&gt;&lt;D xsi:type="xsd:string"&gt;@NA&lt;/D&gt;&lt;/FQL&gt;&lt;FQL&gt;&lt;Q&gt;SALM-NO^FE_TIMESERIES(RD_EXP,MEAN,2016,2026,CY,'BKRACTMED=1,WIN=0,CURRENCY=USD,UNITS=AUTO,CALC=CALA,DATE=NOW')&lt;/Q&gt;&lt;R&gt;11&lt;/R&gt;&lt;C&gt;1&lt;/C&gt;&lt;D xsi:type="xsd:double"&gt;0&lt;/D&gt;&lt;D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xsi:type="xsd:string"&gt;@NA&lt;/D&gt;&lt;/FQL&gt;&lt;FQL&gt;&lt;Q&gt;SALM-NO^FE_TIMESERIES(EBITDA,MEAN,2016,2026,CY,'BKRACTMED=1,WIN=0,CURRENCY=USD,UNITS=AUTO,CALC=CALA,DATE=NOW')&lt;/Q&gt;&lt;R&gt;11&lt;/R&gt;&lt;C&gt;1&lt;/C&gt;&lt;D xsi:type="xsd:double"&gt;333.78995&lt;/D&gt;&lt;D xsi:type="xsd:double"&gt;458.8702&lt;/D&gt;&lt;D xsi:type="xsd:double"&gt;455.52597&lt;/D&gt;&lt;D xsi:type="xsd:double"&gt;402.8967&lt;/D&gt;&lt;D xsi:type="xsd:double"&gt;452.27173&lt;/D&gt;&lt;D xsi:type="xsd:double"&gt;502.77573&lt;/D&gt;&lt;D xsi:type="xsd:double"&gt;650.29645&lt;/D&gt;&lt;D xsi:type="xsd:double"&gt;684.76086&lt;/D&gt;&lt;D xsi:type="xsd:double"&gt;810.4918&lt;/D&gt;&lt;D xsi:type="xsd:string"&gt;@NA&lt;/D&gt;&lt;D xsi:type="xsd:string"&gt;@NA&lt;/D&gt;&lt;/FQL&gt;&lt;FQL&gt;&lt;Q&gt;SALM-NO^FE_TIMESERIES(EBITDA_ADJ,MEAN,2016,2026,CY,'BKRACTMED=1,WIN=0,CURRENCY=USD,UNITS=AUTO,CALC=CALA,DATE=NOW')&lt;/Q&gt;&lt;R&gt;11&lt;/R&gt;&lt;C&gt;1&lt;/C&gt;&lt;D xsi:type="xsd:double"&gt;333.78995&lt;/D&gt;&lt;D xsi:type="xsd:double"&gt;458.8702&lt;/D&gt;&lt;D xsi:type="xsd:double"&gt;455.52597&lt;/D&gt;&lt;D xsi:type="xsd:double"&gt;402.8967&lt;/D&gt;&lt;D xsi:type="xsd:double"&gt;452.27173&lt;/D&gt;&lt;D xsi:type="xsd:double"&gt;498.9184&lt;/D&gt;&lt;D xsi:type="xsd:double"&gt;637.5038&lt;/D&gt;&lt;D xsi:type="xsd:double"&gt;684.75134&lt;/D&gt;&lt;D xsi:type="xsd:string"&gt;@NA&lt;/D&gt;&lt;D xsi:type="xsd:string"&gt;@NA&lt;/D&gt;&lt;D xsi:type="xsd:string"&gt;@NA&lt;/D&gt;&lt;/FQL&gt;&lt;FQL&gt;&lt;Q&gt;SALM-NO^FE_TIMESERIES(EBITDA_REP,MEAN,2016,2026,CY,'BKRACTMED=1,WIN=0,CURRENCY=USD,UNITS=AUTO,CALC=CALA,DATE=NOW')&lt;/Q&gt;&lt;R&gt;11&lt;/R&gt;&lt;C&gt;1&lt;/C&gt;&lt;D xsi:type="xsd:double"&gt;333.78995&lt;/D&gt;&lt;D xsi:type="xsd:double"&gt;458.8574&lt;/D&gt;&lt;D xsi:type="xsd:double"&gt;455.52597&lt;/D&gt;&lt;D xsi:type="xsd:double"&gt;402.8967&lt;/D&gt;&lt;D xsi:type="xsd:double"&gt;452.27173&lt;/D&gt;&lt;D xsi:type="xsd:double"&gt;495.11343&lt;/D&gt;&lt;D xsi:type="xsd:double"&gt;634.5878&lt;/D&gt;&lt;D xsi:type="xsd:double"&gt;665.76874&lt;/D&gt;&lt;D xsi:type="xsd:string"&gt;@NA&lt;/D&gt;&lt;D xsi:type="xsd:string"&gt;@NA&lt;/D&gt;&lt;D xsi:type="xsd:string"&gt;@NA&lt;/D&gt;&lt;/FQL&gt;&lt;FQL&gt;&lt;Q&gt;SALM-NO^FE_TIMESERIES(DEPR_AMORT,MEAN,2016,2026,CY,'BKRACTMED=1,WIN=0,CURRENCY=USD,UNITS=AUTO,CALC=CALA,DATE=NOW')&lt;/Q&gt;&lt;R&gt;11&lt;/R&gt;&lt;C&gt;1&lt;/C&gt;&lt;D xsi:type="xsd:double"&gt;42.830395&lt;/D&gt;&lt;D xsi:type="xsd:double"&gt;53.69076&lt;/D&gt;&lt;D xsi:type="xsd:double"&gt;56.29189&lt;/D&gt;&lt;D xsi:type="xsd:double"&gt;76.407776&lt;/D&gt;&lt;D xsi:type="xsd:double"&gt;96.137344&lt;/D&gt;&lt;D xsi:type="xsd:double"&gt;96.907845&lt;/D&gt;&lt;D xsi:type="xsd:double"&gt;104.5832&lt;/D&gt;&lt;D xsi:type="xsd:double"&gt;107.772804&lt;/D&gt;&lt;D xsi:type="xsd:string"&gt;@NA&lt;/D&gt;&lt;D xsi:type="xsd:string"&gt;@NA&lt;/D&gt;&lt;D xsi:type="xsd:string"&gt;@NA&lt;/D&gt;&lt;/FQL&gt;&lt;FQL&gt;&lt;Q&gt;SALM-NO^FE_TIMESERIES(EBIT,MEAN,2016,2026,CY,'BKRACTMED=1,WIN=0,CURRENCY=USD,UNITS=AUTO,CALC=CALA,DATE=NOW')&lt;/Q&gt;&lt;R&gt;11&lt;/R&gt;&lt;C&gt;1&lt;/C&gt;&lt;D xsi:type="xsd:double"&gt;290.95953&lt;/D&gt;&lt;D xsi:type="xsd:double"&gt;405.17944&lt;/D&gt;&lt;D xsi:type="xsd:double"&gt;399.23407&lt;/D&gt;&lt;D xsi:type="xsd:double"&gt;326.48892&lt;/D&gt;&lt;D xsi:type="xsd:double"&gt;356.1344&lt;/D&gt;&lt;D xsi:type="xsd:double"&gt;405.43738&lt;/D&gt;&lt;D xsi:type="xsd:double"&gt;544.3623&lt;/D&gt;&lt;D xsi:type="xsd:double"&gt;577.0183&lt;/D&gt;&lt;D xsi:type="xsd:double"&gt;713.942&lt;/D&gt;&lt;D xsi:type="xsd:string"&gt;@NA&lt;/D&gt;&lt;D xsi:type="xsd:string"&gt;@NA&lt;/D&gt;&lt;/FQL&gt;&lt;FQL&gt;&lt;Q&gt;SALM-NO^FE_TIMESERIES(EBITA,MEAN,2016,2026,CY,'BKRACTMED=1,WIN=0,CURRENCY=USD,UNITS=AUTO,CALC=CALA,DATE=NOW')&lt;/Q&gt;&lt;R&gt;11&lt;/R&gt;&lt;C&gt;1&lt;/C&gt;&lt;D xsi:type="xsd:double"&gt;290.95953&lt;/D&gt;&lt;D xsi:type="xsd:double"&gt;405.17944&lt;/D&gt;&lt;D xsi:type="xsd:double"&gt;399.23407&lt;/D&gt;&lt;D xsi:type="xsd:double"&gt;326.48892&lt;/D&gt;&lt;D xsi:type="xsd:double"&gt;356.0752&lt;/D&gt;&lt;D xsi:type="xsd:double"&gt;416.29572&lt;/D&gt;&lt;D xsi:type="xsd:double"&gt;546.25415&lt;/D&gt;&lt;D xsi:type="xsd:double"&gt;555.061&lt;/D&gt;&lt;D xsi:type="xsd:string"&gt;@NA&lt;/D&gt;&lt;D xsi:type="xsd:string"&gt;@NA&lt;/D&gt;&lt;D xsi:type="xsd:string"&gt;@NA&lt;/D&gt;&lt;/FQL&gt;&lt;FQL&gt;&lt;Q&gt;SALM-NO^FE_TIMESERIES(EBIT_ADJ,MEAN,2016,2026,CY,'BKRACTMED=1,WIN=0,CURRENCY=USD,UNITS=AUTO,CALC=CALA,DATE=NOW')&lt;/Q&gt;&lt;R&gt;11&lt;/R&gt;&lt;C&gt;1&lt;/C&gt;&lt;D xsi:type="xsd:double"&gt;290.95953&lt;/D&gt;&lt;D xsi:type="xsd:double"&gt;405.17944&lt;/D&gt;&lt;D xsi:type="xsd:double"&gt;399.23407&lt;/D&gt;&lt;D xsi:type="xsd:double"&gt;326.48892&lt;/D&gt;&lt;D xsi:type="xsd:double"&gt;356.1344&lt;/D&gt;&lt;D xsi:type="xsd:double"&gt;402.17984&lt;/D&gt;&lt;D xsi:type="xsd:double"&gt;533.4299&lt;/D&gt;&lt;D xsi:type="xsd:double"&gt;577.0245&lt;/D&gt;&lt;D xsi:type="xsd:string"&gt;@NA&lt;/D&gt;&lt;D xsi:type="xsd:string"&gt;@NA&lt;/D&gt;&lt;D xsi:type="xsd:string"&gt;@NA&lt;/D&gt;&lt;/FQL&gt;&lt;FQL&gt;&lt;Q&gt;SALM-NO^FE_TIMESERIES(EBITR,MEAN,2016,2026,CY,'BKRACTMED=1,WIN=0,CURRENCY=USD,UNITS=AUTO,CALC=CALA,DATE=NOW')&lt;/Q&gt;&lt;R&gt;11&lt;/R&gt;&lt;C&gt;1&lt;/C&gt;&lt;D xsi:type="xsd:double"&gt;369.2028&lt;/D&gt;&lt;D xsi:type="xsd:double"&gt;357.76755&lt;/D&gt;&lt;D xsi:type="xsd:double"&gt;496.82205&lt;/D&gt;&lt;D xsi:type="xsd:double"&gt;322.97714&lt;/D&gt;&lt;D xsi:type="xsd:double"&gt;337.25027&lt;/D&gt;&lt;D xsi:type="xsd:double"&gt;456.35303&lt;/D&gt;&lt;D xsi:type="xsd:double"&gt;543.3347&lt;/D&gt;&lt;D xsi:type="xsd:double"&gt;584.39923&lt;/D&gt;&lt;D xsi:type="xsd:string"&gt;@NA&lt;/D&gt;&lt;D xsi:type="xsd:string"&gt;@NA&lt;/D&gt;&lt;D xsi:type="xsd:string"&gt;@NA&lt;/D&gt;&lt;/FQL&gt;&lt;FQL&gt;&lt;Q&gt;SALM-NO^FE_TIMESERIES(INTEXP,MEAN,2016,2026,CY,'BKRACTMED=1,WIN=0,CURRENCY=USD,UNITS=AUTO,CALC=CALA,DATE=NOW')&lt;/Q&gt;&lt;R&gt;11&lt;/R&gt;&lt;C&gt;1&lt;/C&gt;&lt;D xsi:type="xsd:double"&gt;12.561987&lt;/D&gt;&lt;D xsi:type="xsd:string"&gt;@NA&lt;/D&gt;&lt;D xsi:type="xsd:double"&gt;86.28347&lt;/D&gt;&lt;D xsi:type="xsd:double"&gt;14.366364&lt;/D&gt;&lt;D xsi:type="xsd:double"&gt;35.28193&lt;/D&gt;&lt;D xsi:type="xsd:double"&gt;22.285147&lt;/D&gt;&lt;D xsi:type="xsd:double"&gt;22.51489&lt;/D&gt;&lt;D xsi:type="xsd:string"&gt;@NA&lt;/D&gt;&lt;D xsi:type="xsd:string"&gt;@NA&lt;/D&gt;&lt;D xsi:type="xsd:string"&gt;@NA&lt;/D&gt;&lt;D xsi:type="xsd:string"&gt;@NA&lt;/D&gt;&lt;/FQL&gt;&lt;FQL&gt;&lt;Q&gt;SALM-NO^FE_TIMESERIES(PTP,MEAN,2016,2026,CY,'BKRACTMED=1,WIN=0,CURRENCY=USD,UNITS=AUTO,CALC=CALA,DATE=NOW')&lt;/Q&gt;&lt;R&gt;11&lt;/R&gt;&lt;C&gt;1&lt;/C&gt;&lt;D xsi:type="xsd:double"&gt;399.8301&lt;/D&gt;&lt;D xsi:type="xsd:double"&gt;365.96854&lt;/D&gt;&lt;D xsi:type="xsd:double"&gt;513.66345&lt;/D&gt;&lt;D xsi:type="xsd:double"&gt;336.108&lt;/D&gt;&lt;D xsi:type="xsd:double"&gt;304.51385&lt;/D&gt;&lt;D xsi:type="xsd:double"&gt;483.77643&lt;/D&gt;&lt;D xsi:type="xsd:double"&gt;553.0981&lt;/D&gt;&lt;D xsi:type="xsd:double"&gt;591.7036&lt;/D&gt;&lt;D xsi:type="xsd:double"&gt;699.5412&lt;/D&gt;&lt;D xsi:type="xsd:string"&gt;@NA&lt;/D&gt;&lt;D xsi:type="xsd:string"&gt;@NA&lt;/D&gt;&lt;/FQL&gt;&lt;FQL&gt;&lt;Q&gt;SALM-NO^FE_TIMESERIES(PTPA,MEAN,2016,2026,CY,'BKRACTMED=1,WIN=0,CURRENCY=USD,UNITS=AUTO,CALC=CALA,DATE=NOW')&lt;/Q&gt;&lt;R&gt;11&lt;/R&gt;&lt;C&gt;1&lt;/C&gt;&lt;D xsi:type="xsd:double"&gt;321.58685&lt;/D&gt;&lt;D xsi:type="xsd</t>
        </r>
      </text>
    </comment>
    <comment ref="A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:double"&gt;413.3804&lt;/D&gt;&lt;D xsi:type="xsd:double"&gt;416.0755&lt;/D&gt;&lt;D xsi:type="xsd:double"&gt;339.57828&lt;/D&gt;&lt;D xsi:type="xsd:double"&gt;315.11026&lt;/D&gt;&lt;D xsi:type="xsd:double"&gt;457.6732&lt;/D&gt;&lt;D xsi:type="xsd:double"&gt;566.29425&lt;/D&gt;&lt;D xsi:type="xsd:double"&gt;562.2405&lt;/D&gt;&lt;D xsi:type="xsd:string"&gt;@NA&lt;/D&gt;&lt;D xsi:type="xsd:string"&gt;@NA&lt;/D&gt;&lt;D xsi:type="xsd:string"&gt;@NA&lt;/D&gt;&lt;/FQL&gt;&lt;FQL&gt;&lt;Q&gt;SALM-NO^FE_TIMESERIES(PTPBG,MEAN,2016,2026,CY,'BKRACTMED=1,WIN=0,CURRENCY=USD,UNITS=AUTO,CALC=CALA,DATE=NOW')&lt;/Q&gt;&lt;R&gt;11&lt;/R&gt;&lt;C&gt;1&lt;/C&gt;&lt;D xsi:type="xsd:double"&gt;399.8301&lt;/D&gt;&lt;D xsi:type="xsd:double"&gt;365.96854&lt;/D&gt;&lt;D xsi:type="xsd:double"&gt;513.66345&lt;/D&gt;&lt;D xsi:type="xsd:double"&gt;336.0665&lt;/D&gt;&lt;D xsi:type="xsd:double"&gt;304.51385&lt;/D&gt;&lt;D xsi:type="xsd:double"&gt;483.51935&lt;/D&gt;&lt;D xsi:type="xsd:double"&gt;566.29425&lt;/D&gt;&lt;D xsi:type="xsd:double"&gt;562.2405&lt;/D&gt;&lt;D xsi:type="xsd:string"&gt;@NA&lt;/D&gt;&lt;D xsi:type="xsd:string"&gt;@NA&lt;/D&gt;&lt;D xsi:type="xsd:string"&gt;@NA&lt;/D&gt;&lt;/FQL&gt;&lt;FQL&gt;&lt;Q&gt;SALM-NO^FE_TIMESERIES(TAX_EXPENSE,MEAN,2016,2026,CY,'BKRACTMED=1,WIN=0,CURRENCY=USD,UNITS=AUTO,CALC=CALA,DATE=NOW')&lt;/Q&gt;&lt;R&gt;11&lt;/R&gt;&lt;C&gt;1&lt;/C&gt;&lt;D xsi:type="xsd:double"&gt;82.66984&lt;/D&gt;&lt;D xsi:type="xsd:double"&gt;71.50225&lt;/D&gt;&lt;D xsi:type="xsd:double"&gt;100.7025&lt;/D&gt;&lt;D xsi:type="xsd:double"&gt;65.340355&lt;/D&gt;&lt;D xsi:type="xsd:double"&gt;66.6568&lt;/D&gt;&lt;D xsi:type="xsd:double"&gt;106.097595&lt;/D&gt;&lt;D xsi:type="xsd:double"&gt;119.40933&lt;/D&gt;&lt;D xsi:type="xsd:double"&gt;126.336105&lt;/D&gt;&lt;D xsi:type="xsd:string"&gt;@NA&lt;/D&gt;&lt;D xsi:type="xsd:string"&gt;@NA&lt;/D&gt;&lt;D xsi:type="xsd:string"&gt;@NA&lt;/D&gt;&lt;/FQL&gt;&lt;FQL&gt;&lt;Q&gt;SALM-NO^FE_TIMESERIES(NETPROFIT,MEAN,2016,2026,CY,'BKRACTMED=1,WIN=0,CURRENCY=USD,UNITS=AUTO,CALC=CALA,DATE=NOW')&lt;/Q&gt;&lt;R&gt;11&lt;/R&gt;&lt;C&gt;1&lt;/C&gt;&lt;D xsi:type="xsd:double"&gt;315.48532&lt;/D&gt;&lt;D xsi:type="xsd:double"&gt;294.44064&lt;/D&gt;&lt;D xsi:type="xsd:double"&gt;411.6229&lt;/D&gt;&lt;D xsi:type="xsd:double"&gt;270.77936&lt;/D&gt;&lt;D xsi:type="xsd:double"&gt;237.77417&lt;/D&gt;&lt;D xsi:type="xsd:double"&gt;369.13998&lt;/D&gt;&lt;D xsi:type="xsd:double"&gt;420.4986&lt;/D&gt;&lt;D xsi:type="xsd:double"&gt;451.01636&lt;/D&gt;&lt;D xsi:type="xsd:double"&gt;478.4621&lt;/D&gt;&lt;D xsi:type="xsd:string"&gt;@NA&lt;/D&gt;&lt;D xsi:type="xsd:string"&gt;@NA&lt;/D&gt;&lt;/FQL&gt;&lt;FQL&gt;&lt;Q&gt;SALM-NO^FE_TIMESERIES(NETBG,MEAN,2016,2026,CY,'BKRACTMED=1,WIN=0,CURRENCY=USD,UNITS=AUTO,CALC=CALA,DATE=NOW')&lt;/Q&gt;&lt;R&gt;11&lt;/R&gt;&lt;C&gt;1&lt;/C&gt;&lt;D xsi:type="xsd:double"&gt;242.9249&lt;/D&gt;&lt;D xsi:type="xsd:double"&gt;327.44955&lt;/D&gt;&lt;D xsi:type="xsd:double"&gt;335.65387&lt;/D&gt;&lt;D xsi:type="xsd:double"&gt;257.45547&lt;/D&gt;&lt;D xsi:type="xsd:double"&gt;255.61641&lt;/D&gt;&lt;D xsi:type="xsd:double"&gt;318.89825&lt;/D&gt;&lt;D xsi:type="xsd:double"&gt;419.3929&lt;/D&gt;&lt;D xsi:type="xsd:double"&gt;451.01636&lt;/D&gt;&lt;D xsi:type="xsd:double"&gt;478.4621&lt;/D&gt;&lt;D xsi:type="xsd:string"&gt;@NA&lt;/D&gt;&lt;D xsi:type="xsd:string"&gt;@NA&lt;/D&gt;&lt;/FQL&gt;&lt;FQL&gt;&lt;Q&gt;SALM-NO^FE_TIMESERIES(BFNG,MEAN,2016,2026,CY,'BKRACTMED=1,WIN=0,CURRENCY=USD,UNITS=AUTO,CALC=CALA,DATE=NOW')&lt;/Q&gt;&lt;R&gt;11&lt;/R&gt;&lt;C&gt;1&lt;/C&gt;&lt;D xsi:type="xsd:double"&gt;315.48532&lt;/D&gt;&lt;D xsi:type="xsd:double"&gt;291.3909&lt;/D&gt;&lt;D xsi:type="xsd:double"&gt;411.59982&lt;/D&gt;&lt;D xsi:type="xsd:double"&gt;264.76675&lt;/D&gt;&lt;D xsi:type="xsd:double"&gt;234.30518&lt;/D&gt;&lt;D xsi:type="xsd:double"&gt;367.06396&lt;/D&gt;&lt;D xsi:type="xsd:double"&gt;422.57593&lt;/D&gt;&lt;D xsi:type="xsd:double"&gt;449.67392&lt;/D&gt;&lt;D xsi:type="xsd:double"&gt;478.4621&lt;/D&gt;&lt;D xsi:type="xsd:string"&gt;@NA&lt;/D&gt;&lt;D xsi:type="xsd:string"&gt;@NA&lt;/D&gt;&lt;/FQL&gt;&lt;FQL&gt;&lt;Q&gt;SALM-NO^FE_TIMESERIES(CURRENTASSETS,MEAN,2016,2026,CY,'BKRACTMED=1,WIN=0,CURRENCY=USD,UNITS=AUTO,CALC=CALA,DATE=NOW')&lt;/Q&gt;&lt;R&gt;11&lt;/R&gt;&lt;C&gt;1&lt;/C&gt;&lt;D xsi:type="xsd:double"&gt;764.8455&lt;/D&gt;&lt;D xsi:type="xsd:double"&gt;681.19354&lt;/D&gt;&lt;D xsi:type="xsd:double"&gt;798.8142&lt;/D&gt;&lt;D xsi:type="xsd:double"&gt;797.06714&lt;/D&gt;&lt;D xsi:type="xsd:double"&gt;937.45746&lt;/D&gt;&lt;D xsi:type="xsd:double"&gt;1209.5723&lt;/D&gt;&lt;D xsi:type="xsd:double"&gt;1263.1025&lt;/D&gt;&lt;D xsi:type="xsd:double"&gt;1454.1632&lt;/D&gt;&lt;D xsi:type="xsd:string"&gt;@NA&lt;/D&gt;&lt;D xsi:type="xsd:string"&gt;@NA&lt;/D&gt;&lt;D xsi:type="xsd:string"&gt;@NA&lt;/D&gt;&lt;/FQL&gt;&lt;FQL&gt;&lt;Q&gt;SALM-NO^FE_TIMESERIES(CURRENTLIABILITIES,MEAN,2016,2026,CY,'BKRACTMED=1,WIN=0,CURRENCY=USD,UNITS=AUTO,CALC=CALA,DATE=NOW')&lt;/Q&gt;&lt;R&gt;11&lt;/R&gt;&lt;C&gt;1&lt;/C&gt;&lt;D xsi:type="xsd:double"&gt;333.31137&lt;/D&gt;&lt;D xsi:type="xsd:double"&gt;352.1294&lt;/D&gt;&lt;D xsi:type="xsd:double"&gt;397.1577&lt;/D&gt;&lt;D xsi:type="xsd:double"&gt;345.64407&lt;/D&gt;&lt;D xsi:type="xsd:double"&gt;560.7222&lt;/D&gt;&lt;D xsi:type="xsd:double"&gt;589.781&lt;/D&gt;&lt;D xsi:type="xsd:double"&gt;557.76044&lt;/D&gt;&lt;D xsi:type="xsd:double"&gt;720.5148&lt;/D&gt;&lt;D xsi:type="xsd:string"&gt;@NA&lt;/D&gt;&lt;D xsi:type="xsd:string"&gt;@NA&lt;/D&gt;&lt;D xsi:type="xsd:string"&gt;@NA&lt;/D&gt;&lt;/FQL&gt;&lt;FQL&gt;&lt;Q&gt;SALM-NO^FE_TIMESERIES(TOTASSET,MEAN,2016,2026,CY,'BKRACTMED=1,WIN=0,CURRENCY=USD,UNITS=AUTO,CALC=CALA,DATE=NOW')&lt;/Q&gt;&lt;R&gt;11&lt;/R&gt;&lt;C&gt;1&lt;/C&gt;&lt;D xsi:type="xsd:double"&gt;1605.6613&lt;/D&gt;&lt;D xsi:type="xsd:double"&gt;1656.3407&lt;/D&gt;&lt;D xsi:type="xsd:double"&gt;1745.9713&lt;/D&gt;&lt;D xsi:type="xsd:double"&gt;1914.0254&lt;/D&gt;&lt;D xsi:type="xsd:double"&gt;2604.4695&lt;/D&gt;&lt;D xsi:type="xsd:double"&gt;2983.5483&lt;/D&gt;&lt;D xsi:type="xsd:double"&gt;3151.7974&lt;/D&gt;&lt;D xsi:type="xsd:double"&gt;3362.3232&lt;/D&gt;&lt;D xsi:type="xsd:string"&gt;@NA&lt;/D&gt;&lt;D xsi:type="xsd:string"&gt;@NA&lt;/D&gt;&lt;D xsi:type="xsd:string"&gt;@NA&lt;/D&gt;&lt;/FQL&gt;&lt;FQL&gt;&lt;Q&gt;SALM-NO^FE_TIMESERIES(DEBT_ST,MEAN,2016,2026,CY,'BKRACTMED=1,WIN=0,CURRENCY=USD,UNITS=AUTO,CALC=CALA,DATE=NOW')&lt;/Q&gt;&lt;R&gt;11&lt;/R&gt;&lt;C&gt;1&lt;/C&gt;&lt;D xsi:type="xsd:string"&gt;@NA&lt;/D&gt;&lt;D xsi:type="xsd:double"&gt;31.266218&lt;/D&gt;&lt;D xsi:type="xsd:double"&gt;86.28347&lt;/D&gt;&lt;D xsi:type="xsd:double"&gt;55.549942&lt;/D&gt;&lt;D xsi:type="xsd:double"&gt;180.02072&lt;/D&gt;&lt;D xsi:type="xsd:double"&gt;125.76174&lt;/D&gt;&lt;D xsi:type="xsd:double"&gt;95.89505&lt;/D&gt;&lt;D xsi:type="xsd:double"&gt;165.0709&lt;/D&gt;&lt;D xsi:type="xsd:string"&gt;@NA&lt;/D&gt;&lt;D xsi:type="xsd:string"&gt;@NA&lt;/D&gt;&lt;D xsi:type="xsd:string"&gt;@NA&lt;/D&gt;&lt;/FQL&gt;&lt;FQL&gt;&lt;Q&gt;SALM-NO^FE_TIMESERIES(DEBT_LT,MEAN,2016,2026,CY,'BKRACTMED=1,WIN=0,CURRENCY=USD,UNITS=AUTO,CALC=CALA,DATE=NOW')&lt;/Q&gt;&lt;R&gt;11&lt;/R&gt;&lt;C&gt;1&lt;/C&gt;&lt;D xsi:type="xsd:string"&gt;@NA&lt;/D&gt;&lt;D xsi:type="xsd:double"&gt;148.13011&lt;/D&gt;&lt;D xsi:type="xsd:double"&gt;117.54392&lt;/D&gt;&lt;D xsi:type="xsd:double"&gt;318.88007&lt;/D&gt;&lt;D xsi:type="xsd:double"&gt;435.45953&lt;/D&gt;&lt;D xsi:type="xsd:double"&gt;500.9563&lt;/D&gt;&lt;D xsi:type="xsd:double"&gt;552.41895&lt;/D&gt;&lt;D xsi:type="xsd:double"&gt;520.94403&lt;/D&gt;&lt;D xsi:type="xsd:string"&gt;@NA&lt;/D&gt;&lt;D xsi:type="xsd:string"&gt;@NA&lt;/D&gt;&lt;D xsi:type="xsd:string"&gt;@NA&lt;/D&gt;&lt;/FQL&gt;&lt;FQL&gt;&lt;Q&gt;SALM-NO^FE_TIMESERIES(TOTALDEBT,MEAN,2016,2026,CY,'BKRACTMED=1,WIN=0,CURRENCY=USD,UNITS=AUTO,CALC=CALA,DATE=NOW')&lt;/Q&gt;&lt;R&gt;11&lt;/R&gt;&lt;C&gt;1&lt;/C&gt;&lt;D xsi:type="xsd:double"&gt;363.3405&lt;/D&gt;&lt;D xsi:type="xsd:double"&gt;179.39633&lt;/D&gt;&lt;D xsi:type="xsd:double"&gt;203.8274&lt;/D&gt;&lt;D xsi:type="xsd:double"&gt;333.40607&lt;/D&gt;&lt;D xsi:type="xsd:double"&gt;661.0034&lt;/D&gt;&lt;D xsi:type="xsd:double"&gt;562.7574&lt;/D&gt;&lt;D xsi:type="xsd:double"&gt;562.7574&lt;/D&gt;&lt;D xsi:type="xsd:string"&gt;@NA&lt;/D&gt;&lt;D xsi:type="xsd:string"&gt;@NA&lt;/D&gt;&lt;D xsi:type="xsd:string"&gt;@NA&lt;/D&gt;&lt;D xsi:type="xsd:string"&gt;@NA&lt;/D&gt;&lt;/FQL&gt;&lt;FQL&gt;&lt;Q&gt;SALM-NO^FE_TIMESERIES(INTANG,MEAN,2016,2026,CY,'BKRACTMED=1,WIN=0,CURRENCY=USD,UNITS=AUTO,CALC=CALA,DATE=NOW')&lt;/Q&gt;&lt;R&gt;11&lt;/R&gt;&lt;C&gt;1&lt;/C&gt;&lt;D xsi:type="xsd:double"&gt;348.26614&lt;/D&gt;&lt;D xsi:type="xsd:double"&gt;374.8102&lt;/D&gt;&lt;D xsi:type="xsd:double"&gt;392.659&lt;/D&gt;&lt;D xsi:type="xsd:double"&gt;504.63184&lt;/D&gt;&lt;D xsi:type="xsd:double"&gt;808.1693&lt;/D&gt;&lt;D xsi:type="xsd:double"&gt;764.9894&lt;/D&gt;&lt;D xsi:type="xsd:double"&gt;764.9894&lt;/D&gt;&lt;D xsi:type="xsd:double"&gt;758.4225&lt;/D&gt;&lt;D xsi:type="xsd:string"&gt;@NA&lt;/D&gt;&lt;D xsi:type="xsd:string"&gt;@NA&lt;/D&gt;&lt;D xsi:type="xsd:string"&gt;@NA&lt;/D&gt;&lt;/FQL&gt;&lt;FQL&gt;&lt;Q&gt;SALM-NO^FE_TIMESERIES(TOTGW,MEAN,2016,2026,CY,'BKRACTMED=1,WIN=0,CURRENCY=USD,UNITS=AUTO,CALC=CALA,DATE=NOW')&lt;/Q&gt;&lt;R&gt;11&lt;/R&gt;&lt;C&gt;1&lt;/C&gt;&lt;D xsi:type="xsd:double"&gt;53.478172&lt;/D&gt;&lt;D xsi:type="xsd:double"&gt;48.308872&lt;/D&gt;&lt;D xsi:type="xsd:double"&gt;35.413136&lt;/D&gt;&lt;D xsi:type="xsd:double"&gt;47.568626&lt;/D&gt;&lt;D xsi:type="xsd:double"&gt;52.922897&lt;/D&gt;&lt;D xsi:type="xsd:double"&gt;75.06878&lt;/D&gt;&lt;D xsi:type="xsd:double"&gt;75.06878&lt;/D&gt;&lt;D xsi:type="xsd:double"&gt;37.53439&lt;/D&gt;&lt;D xsi:type="xsd:string"&gt;@NA&lt;/D&gt;&lt;D xsi:type="xsd:string"&gt;@NA&lt;/D&gt;&lt;D xsi:type="xsd:string"&gt;@NA&lt;/D&gt;&lt;/FQL&gt;&lt;FQL&gt;&lt;Q&gt;SALM-NO^FE_TIMESERIES(NETDEBT,MEAN,2016,2026,CY,'BKRACTMED=1,WIN=0,CURRENCY=USD,UNITS=AUTO,CALC=CALA,DATE=NOW')&lt;/Q&gt;&lt;R&gt;11&lt;/R&gt;&lt;C&gt;1&lt;/C&gt;&lt;D xsi:type="xsd:double"&gt;282.82416&lt;/D&gt;&lt;D xsi:type="xsd:double"&gt;156.71552&lt;/D&gt;&lt;D xsi:type="xsd:double"&gt;176.25821&lt;/D&gt;&lt;D xsi:type="xsd:double"&gt;317.486&lt;/D&gt;&lt;D xsi:type="xsd:double"&gt;670.3567&lt;/D&gt;&lt;D xsi:type="xsd:double"&gt;471.79236&lt;/D&gt;&lt;D xsi:type="xsd:double"&gt;389.35593&lt;/D&gt;&lt;D xsi:type="xsd:double"&gt;476.63846&lt;/D&gt;&lt;D xsi:type="xsd:double"&gt;291.518&lt;/D&gt;&lt;D xsi:type="xsd:string"&gt;@NA&lt;/D&gt;&lt;D xsi:type="xsd:string"&gt;@NA&lt;/D&gt;&lt;/FQL&gt;&lt;FQL&gt;&lt;Q&gt;SALM-NO^FE_TIMESERIES(WKCAP,MEAN,2016,2026,CY,'BKRACTMED=1,WIN=0,CURRENCY=USD,UNITS=AUTO,CALC=CALA,DATE=NOW')&lt;/Q&gt;&lt;R&gt;11&lt;/R&gt;&lt;C&gt;1&lt;/C&gt;&lt;D xsi:type="xsd:string"&gt;@NA&lt;/D&gt;&lt;D xsi:type="xsd:double"&gt;337.5214&lt;/D&gt;&lt;D xsi:type="xsd:double"&gt;460.2554&lt;/D&gt;&lt;D xsi:type="xsd:double"&gt;482.49698&lt;/D&gt;&lt;D xsi:type="xsd:double"&gt;540.003&lt;/D&gt;&lt;D xsi:type="xsd:double"&gt;677.1985&lt;/D&gt;&lt;D xsi:type="xsd:double"&gt;703.47546&lt;/D&gt;&lt;D xsi:type="xsd:double"&gt;795.5261&lt;/D&gt;&lt;D xsi:type="xsd:string"&gt;@NA&lt;/D&gt;&lt;D xsi:type="xsd:string"&gt;@NA&lt;/D&gt;&lt;D xsi:type="xsd:string"&gt;@NA&lt;/D&gt;&lt;/FQL&gt;&lt;FQL&gt;&lt;Q&gt;SALM-NO^FE_TIMESERIES(MINTEREST,MEAN,2016,2026,CY,'BKRACTMED=1,WIN=0,CURRENCY=USD,UNITS=AUTO,CALC=CALA,DATE=NOW')&lt;/Q&gt;&lt;R&gt;11&lt;/R&gt;&lt;C&gt;1&lt;/C&gt;&lt;D xsi:type="xsd:double"&gt;9.810313&lt;/D&gt;&lt;D xsi:type="xsd:double"&gt;11.276341&lt;/D&gt;&lt;D xsi:type="xsd:double"&gt;10.612405&lt;/D&gt;&lt;D xsi:type="xsd:double"&gt;77.89761&lt;/D&gt;&lt;D xsi:type="xsd:double"&gt;134.49756&lt;/D&gt;&lt;D xsi:type="xsd:double"&gt;137.4155&lt;/D&gt;&lt;D xsi:type="xsd:double"&gt;146.17448&lt;/D&gt;&lt;D xsi:type="xsd:double"&gt;155.85243&lt;/D&gt;&lt;D xsi:type="xsd:string"&gt;@NA&lt;/D&gt;&lt;D xsi:type="xsd:string"&gt;@NA&lt;/D&gt;&lt;D xsi:type="xsd:string"&gt;@NA&lt;/D&gt;&lt;/FQL&gt;&lt;FQL&gt;&lt;Q&gt;SALM-NO^FE_TIMESERIES(SHEQUITY,MEAN,2016,2026,CY,'BKRACTMED=1,WIN=0,CURRENCY=USD,UNITS=AUTO,CALC=CALA,DATE=NOW')&lt;/Q&gt;&lt;R&gt;11&lt;/R&gt;&lt;C&gt;1&lt;/C&gt;&lt;D xsi:type="xsd:double"&gt;799.3013&lt;/D&gt;&lt;D xsi:type="xsd:double"&gt;982.57935&lt;/D&gt;&lt;D xsi:type="xsd:double"&gt;1049.0132&lt;/D&gt;&lt;D xsi:type="xsd:double"&gt;1036.5066&lt;/D&gt;&lt;D xsi:type="xsd:double"&gt;1166.3164&lt;/D&gt;&lt;D xsi:type="xsd:double"&gt;1576.8081&lt;/D&gt;&lt;D xsi:type="xsd:double"&gt;1715.5925&lt;/D&gt;&lt;D xsi:type="xsd:double"&gt;1848.3577&lt;/D&gt;&lt;D xsi:type="xsd:string"&gt;@NA&lt;/D&gt;&lt;D xsi:type="xsd:string"&gt;@NA&lt;/D&gt;&lt;D xsi:type="xsd:string"&gt;@NA&lt;/D&gt;&lt;/FQL&gt;&lt;FQL&gt;&lt;Q&gt;SALM-NO^FE_TIMESERIES(CAPEX,MEAN,2016,2026,CY,'BKRACTMED=1,WIN=0,CURRENCY=USD,UNITS=AUTO,CALC=CALA,DATE=NOW')&lt;/Q&gt;&lt;R&gt;11&lt;/R&gt;&lt;C&gt;1&lt;/C&gt;&lt;D xsi:type="xsd:double"&gt;151.10275&lt;/D&gt;&lt;D xsi:type="xsd:double"&gt;97.1303&lt;/D&gt;&lt;D xsi:type="xsd:double"&gt;96.76898&lt;/D&gt;&lt;D xsi:type="xsd:double"&gt;137.17216&lt;/D&gt;&lt;D xsi:type="xsd:double"&gt;443.74722&lt;/D&gt;&lt;D xsi:type="xsd:double"&gt;203.76358&lt;/D&gt;&lt;D xsi:type="xsd:double"&gt;154.6367&lt;/D&gt;&lt;D xsi:type="xsd:double"&gt;135.91643&lt;/D&gt;&lt;D xsi:type="xsd:string"&gt;@NA&lt;/D&gt;&lt;D xsi:type="xsd:string"&gt;@NA&lt;/D&gt;&lt;D xsi:type="xsd:string"&gt;@NA&lt;/D&gt;&lt;/FQL&gt;&lt;FQL&gt;&lt;Q&gt;SALM-NO^FE_TIMESERIES(FCF,MEAN,2016,2026,CY,'BKRACTMED=1,WIN=0,CURRENCY=USD,UNITS=AUTO,CALC=CALA,DATE=NOW')&lt;/Q&gt;&lt;R&gt;11&lt;/R&gt;&lt;C&gt;1&lt;/C&gt;&lt;D xsi:type="xsd:double"&gt;171.08229&lt;/D&gt;&lt;D xsi:type="xsd:double"&gt;323.16968&lt;/D&gt;&lt;D xsi:type="xsd:double"&gt;212.30579&lt;/D&gt;&lt;D xsi:type="xsd:double"&gt;169.62952&lt;/D&gt;&lt;D xsi:type="xsd:double"&gt;-69.865326&lt;/D&gt;&lt;D xsi:type="xsd:double"&gt;133.25139&lt;/D&gt;&lt;D xsi:type="xsd:double"&gt;319.55063&lt;/D&gt;&lt;D xsi:type="xsd:double"&gt;307.3972&lt;/D&gt;&lt;D xsi:type="xsd:string"&gt;@NA&lt;/D&gt;&lt;D xsi:type="xsd:string"&gt;@NA&lt;/D&gt;&lt;D xsi:type="xsd:string"&gt;@NA&lt;/D&gt;&lt;/FQL&gt;&lt;FQL&gt;&lt;Q&gt;SALM-NO^FE_TIMESERIES(CFO,MEAN,2016,2026,CY,'BKRACTMED=1,WIN=0,CURRENCY=USD,UNITS=AUTO,CALC=CALA,DATE=NOW')&lt;/Q&gt;&lt;R&gt;11&lt;/R&gt;&lt;C&gt;1&lt;/C&gt;&lt;D xsi:type="xsd:double"&gt;323.74036&lt;/D&gt;&lt;D xsi:type="xsd:double"&gt;420.23593&lt;/D&gt;&lt;D xsi:type="xsd:double"&gt;308.7979&lt;/D&gt;&lt;D xsi:type="xsd:double"&gt;307.22736&lt;/D&gt;&lt;D xsi:type="xsd:double"&gt;375.5513&lt;/D&gt;&lt;D xsi:type="xsd:double"&gt;335.37997&lt;/D&gt;&lt;D xsi:type="xsd:double"&gt;476.25885&lt;/D&gt;&lt;D xsi:type="xsd:double"&gt;440.76343&lt;/D&gt;&lt;D xsi:type="xsd:string"&gt;@NA&lt;/D&gt;&lt;D xsi:type="xsd:string"&gt;@NA&lt;/D&gt;&lt;D xsi:type="xsd:string"&gt;@NA&lt;/D&gt;&lt;/FQL&gt;&lt;FQL&gt;&lt;Q&gt;SALM-NO^FE_TIMESERIES(CFI,MEAN,2016,2026,CY,'BKRACTMED=1,WIN=0,CURRENCY=USD,UNITS=AUTO,CALC=CALA,DATE=NOW')&lt;/Q&gt;&lt;R&gt;11&lt;/R&gt;&lt;C&gt;1&lt;/C&gt;&lt;D xsi:type="xsd:double"&gt;-151.10275&lt;/D&gt;&lt;D xsi:type="xsd:double"&gt;-97.1303&lt;/D&gt;&lt;D xsi:type="xsd:double"&gt;-96.78052&lt;/D&gt;&lt;D xsi:type="xsd:double"&gt;-143.13155&lt;/D&gt;&lt;D xsi:type="xsd:double"&gt;-443.74722&lt;/D&gt;&lt;D xsi:type="xsd:double"&gt;-260.7975&lt;/D&gt;&lt;D xsi:type="xsd:double"&gt;-159.55705&lt;/D&gt;&lt;D xsi:type="xsd:double"&gt;-143.70473&lt;/D&gt;&lt;D xsi:type="xsd:string"&gt;@NA&lt;/D&gt;&lt;D xsi:type="xsd:string"&gt;@NA&lt;/D&gt;&lt;D xsi:type="xsd:string"&gt;@NA&lt;/D&gt;&lt;/FQL&gt;&lt;FQL&gt;&lt;Q&gt;SALM-NO^FE_TIMESERIES(CFF,MEAN,2016,2026,CY,'BKRACTMED=1,WIN=0,CURRENCY=USD,UNITS=AUTO,CALC=CALA,DATE=NOW')&lt;/Q&gt;&lt;R&gt;11&lt;/R&gt;&lt;C&gt;1&lt;/C&gt;&lt;D xsi:type="xsd:string"&gt;@NA&lt;/D&gt;&lt;D xsi:type="xsd:double"&gt;-348.09296&lt;/D&gt;&lt;D xsi:type="xsd:double"&gt;-217.43895&lt;/D&gt;&lt;D xsi:type="xsd:double"&gt;-171.43861&lt;/D&gt;&lt;D xsi:type="xsd:double"&gt;66.47921&lt;/D&gt;&lt;D xsi:type="xsd:double"&gt;37.371655&lt;/D&gt;&lt;D xsi:type="xsd:double"&gt;-252.9479&lt;/D&gt;&lt;D xsi:type="xsd:double"&gt;-246.4002&lt;/D&gt;&lt;D xsi:type="xsd:string"&gt;@NA&lt;/D&gt;&lt;D xsi:type="xsd:string"&gt;@NA&lt;/D&gt;&lt;D xsi:type="xsd:string"&gt;@NA&lt;/D&gt;&lt;/FQL&gt;&lt;FQL&gt;&lt;Q&gt;SALM-NO^FE_TIMESERIES(NETDIV,MEAN,2016,2026,CY,'BKRACTMED=1,WIN=0,CURRENCY=USD,UNITS=AUTO,CALC=CALA,DATE=NOW')&lt;/Q&gt;&lt;R&gt;11&lt;/R&gt;&lt;C&gt;1&lt;/C&gt;&lt;D xsi:type="xsd:double"&gt;1.4356556&lt;/D&gt;&lt;D xsi:type="xsd:double"&gt;2.4346645&lt;/D&gt;&lt;D xsi:type="xsd:double"&gt;2.6531012&lt;/D&gt;&lt;D xsi:type="xsd:double"&gt;2.2347677&lt;/D&gt;&lt;D xsi:type="xsd:double"&gt;2.367915&lt;/D&gt;&lt;D xsi:type="xsd:double"&gt;2.4369252&lt;/D&gt;&lt;D xsi:type="xsd:double"&gt;2.6449254&lt;/D&gt;&lt;D xsi:type="xsd:double"&gt;3.0297132&lt;/D&gt;&lt;D xsi:type="xsd:double"&gt;3.216413&lt;/D&gt;&lt;D xsi:type="xsd:string"&gt;@NA&lt;/D&gt;&lt;D xsi:type="xsd:string"&gt;@NA&lt;/D&gt;&lt;/FQL&gt;&lt;FQL&gt;&lt;Q&gt;SALM-NO^FE_TIMESERIES(CFPS,MEAN,2016,2026,CY,'BKRACTMED=1,WIN=0,CURRENCY=USD,UNITS=AUTO,CALC=CALA,DATE=NOW')&lt;/Q&gt;&lt;R&gt;11&lt;/R&gt;&lt;C&gt;1&lt;/C&gt;&lt;D xsi:type="xsd:double"&gt;2.7995286&lt;/D&gt;&lt;D xsi:type="xsd:double"&gt;3.7122228&lt;/D&gt;&lt;D xsi:type="xsd:double"&gt;2.7223127&lt;/D&gt;&lt;D xsi:type="xsd:double"&gt;2.725541&lt;/D&gt;&lt;D xsi:type="xsd:double"&gt;3.1019683&lt;/D&gt;&lt;D xsi:type="xsd:double"&gt;3.3599017&lt;/D&gt;&lt;D xsi:type="xsd:double"&gt;4.6952314&lt;/D&gt;&lt;D xsi:type="xsd:double"&gt;3.9299486&lt;/D&gt;&lt;D xsi:type="xsd:string"&gt;@NA&lt;/D&gt;&lt;D xsi:type="xsd:string"&gt;@NA&lt;/D&gt;&lt;D xsi:type="xsd:string"&gt;@NA&lt;/D&gt;&lt;/FQL&gt;&lt;FQL&gt;&lt;Q&gt;SALM-NO^FE_TIMESERIES(BVPS,MEAN,2016,2026,CY,'BKRACTMED=1,WIN=0,CURRENCY=USD,UNITS=AUTO,CALC=CALA,DATE=NOW')&lt;/Q&gt;&lt;R&gt;11&lt;/R&gt;&lt;C&gt;1&lt;/C&gt;&lt;D xsi:type="xsd:double"&gt;7.0466766&lt;/D&gt;&lt;D xsi:type="xsd:double"&gt;8.672505&lt;/D&gt;&lt;D xsi:type="xsd:double"&gt;9.308925&lt;/D&gt;&lt;D xsi:type="xsd:double"&gt;8.555967&lt;/D&gt;&lt;D xsi:type="xsd:double"&gt;10.29451&lt;/D&gt;&lt;D xsi:type="xsd:double"&gt;13.650252&lt;/D&gt;&lt;D xsi:type="xsd:double"&gt;14.97456&lt;/D&gt;&lt;D xsi:type="xsd:double"&gt;15.891006&lt;/D&gt;&lt;D xsi:type="xsd:double"&gt;16.886759&lt;/D&gt;&lt;D xsi:type="xsd:string"&gt;@NA&lt;/D&gt;&lt;D xsi:type="xsd:string"&gt;@NA&lt;/D&gt;&lt;/FQL&gt;&lt;FQL&gt;&lt;Q&gt;SALM-NO^PROPER(CONVERT_DATE(FE_TIMESERIES_PERIOD(,2016,2026,FY,'DISPLAY=YYYYMMDD'),"MMM 'YY"))&lt;/Q&gt;&lt;R&gt;11&lt;/R&gt;&lt;C&gt;1&lt;/C&gt;&lt;D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'25&lt;/D&gt;&lt;D xsi:type="xsd:string"&gt;Dec '26&lt;/D&gt;&lt;/FQL&gt;&lt;FQL&gt;&lt;Q&gt;SALM-NO^FE_TIMESERIES_VALUATION(ROA,MEAN,2016,2026,FY,'BKRACTMED=1,WIN=0,UNITS=AUTO,DATE=NOW')&lt;/Q&gt;&lt;R&gt;11&lt;/R&gt;&lt;C&gt;1&lt;/C&gt;&lt;D xsi:type="xsd:double"&gt;19.648312&lt;/D&gt;&lt;D xsi:type="xsd:double"&gt;17.776575&lt;/D&gt;&lt;D xsi:type="xsd:double"&gt;23.57558&lt;/D&gt;&lt;D xsi:type="xsd:double"&gt;14.147115&lt;/D&gt;&lt;D xsi:type="xsd:double"&gt;9.129466&lt;/D&gt;&lt;D xsi:type="xsd:double"&gt;12.372515&lt;/D&gt;&lt;D xsi:type="xsd:double"&gt;13.341549&lt;/D&gt;&lt;D xsi:type="xsd:double"&gt;13.413831&lt;/D&gt;&lt;D xsi:type="xsd:string"&gt;@NA&lt;/D&gt;&lt;D xsi:type="xsd:string"&gt;@NA&lt;/D&gt;&lt;D xsi:type="xsd:string"&gt;@NA&lt;/D&gt;&lt;/FQL&gt;&lt;FQL&gt;&lt;Q&gt;SALM-NO^FE_TIMESERIES_VALUATION(ROE,MEAN,2016,2026,FY,'BKRACTMED=1,WIN=0,UNITS=AUTO,DATE=NOW')&lt;/Q&gt;&lt;R&gt;11&lt;/R&gt;&lt;C&gt;1&lt;/C&gt;&lt;D xsi:type="xsd:double"&gt;31.672327&lt;/D&gt;&lt;D xsi:type="xsd:double"&gt;34.663963&lt;/D&gt;&lt;D xsi:type="xsd:double"&gt;31.389696&lt;/D&gt;&lt;D xsi:type="xsd:double"&gt;27.400497&lt;/D&gt;&lt;D xsi:type="xsd:double"&gt;20.11501&lt;/D&gt;&lt;D xsi:type="xsd:double"&gt;20.497343&lt;/D&gt;&lt;D xsi:type="xsd:double"&gt;24.032665&lt;/D&gt;&lt;D xsi:type="xsd:double"&gt;24.590935&lt;/D&gt;&lt;D xsi:type="xsd:double"&gt;24.052261&lt;/D&gt;&lt;D xsi:type="xsd:string"&gt;@NA&lt;/D&gt;&lt;D xsi:type="xsd:string"&gt;@NA&lt;/D&gt;&lt;/FQL&gt;&lt;FQL&gt;&lt;Q&gt;GSF-NO^PROPER(CONVERT_DATE(FE_TIMESERIES_PERIOD(,2016,2026,CY,''),"MMM 'YY"))&lt;/Q&gt;&lt;R&gt;11&lt;/R&gt;&lt;C&gt;1&lt;/C&gt;&lt;D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'25&lt;/D&gt;&lt;D xsi:type="xsd:string"&gt;Dec '26&lt;/D&gt;&lt;/FQL&gt;&lt;FQL&gt;&lt;Q&gt;GSF-NO^FE_TIMESERIES_PERIOD(,2016,2026,CY,'')&lt;/Q&gt;&lt;R&gt;11&lt;/R&gt;&lt;C&gt;1&lt;/C&gt;&lt;D xsi:type="xsd:string"&gt;2016&lt;/D&gt;&lt;D xsi:type="xsd:string"&gt;2017&lt;/D&gt;&lt;D xsi:type="xsd:string"&gt;2018&lt;/D&gt;&lt;D xsi:type="xsd:string"&gt;2019&lt;/D&gt;&lt;D xsi:type="xsd:string"&gt;2020&lt;/D&gt;&lt;D xsi:type="xsd:string"&gt;2021&lt;/D&gt;&lt;D xsi:type="xsd:string"&gt;2022&lt;/D&gt;&lt;D xsi:type="xsd:string"&gt;2023&lt;/D&gt;&lt;D xsi:type="xsd:string"&gt;2024&lt;/D&gt;&lt;D xsi:type="xsd:string"&gt;2025&lt;/D&gt;&lt;D xsi:type="xsd:string"&gt;2026&lt;/D&gt;&lt;/FQL&gt;&lt;FQL&gt;&lt;Q&gt;GSF-NO^FE_TIMESERIES(EPS,MEAN,2016,2026,CY,'BKRACTMED=1,WIN=0,CURRENCY=USD,UNITS=AUTO,CALC=CALA,DATE=NOW')&lt;/Q&gt;&lt;R&gt;11&lt;/R&gt;&lt;C&gt;1&lt;/C&gt;&lt;D xsi:type="xsd:double"&gt;0.8729891&lt;/D&gt;&lt;D xsi:type="xsd:double"&gt;0.7244274&lt;/D&gt;&lt;D xsi:type="xsd:double"&gt;0.78684574&lt;/D&gt;&lt;D xsi:type="xsd:double"&gt;0.7758283&lt;/D&gt;&lt;D xsi:type="xsd:double"&gt;-0.12416705&lt;/D&gt;&lt;D xsi:type="xsd:double"&gt;0.27144504&lt;/D&gt;&lt;D xsi:type="xsd:double"&gt;0.84641874&lt;/D&gt;&lt;D xsi:type="xsd:double"&gt;0.93103665&lt;/D&gt;&lt;D xsi:type="xsd:double"&gt;1.412118&lt;/D&gt;&lt;D xsi:type="xsd:string"&gt;@NA&lt;/D&gt;&lt;D xsi:type="xsd:string"&gt;@NA&lt;/D&gt;&lt;/FQL&gt;&lt;FQL&gt;&lt;Q&gt;GSF-NO^FE_TIMESERIES(EAG,MEAN,2016,2026,CY,'BKRACTMED=1,WIN=0,CURRENCY=USD,UNITS=AUTO,CALC=CALA,DATE=NOW')&lt;/Q&gt;&lt;R&gt;11&lt;/R&gt;&lt;C&gt;1&lt;/C&gt;&lt;D xsi:type="xsd:double"&gt;1.2751662&lt;/D&gt;&lt;D xsi:type="xsd:double"&gt;0.636857&lt;/D&gt;&lt;D xsi:type="xsd:double"&gt;0.98240006&lt;/D&gt;&lt;D xsi:type="xsd:double"&gt;0.6016613&lt;/D&gt;&lt;D xsi:type="xsd:double"&gt;-0.52327543&lt;/D&gt;&lt;D xsi:type="xsd:double"&gt;0.57261825&lt;/D&gt;&lt;D xsi:type="xsd:double"&gt;0.85100454&lt;/D&gt;&lt;D xsi:type="xsd:double"&gt;0.94462985&lt;/D&gt;&lt;D xsi:type="xsd:double"&gt;1.3891239&lt;/D&gt;&lt;D xsi:type="xsd:string"&gt;@NA&lt;/D&gt;&lt;D xsi:type="xsd:string"&gt;@NA&lt;/D&gt;&lt;/FQL&gt;&lt;FQL&gt;&lt;Q&gt;GSF-NO^FE_TIMESERIES(EBG,MEAN,2016,2026,CY,'BKRACTMED=1,WIN=0,CURRENCY=USD,UNITS=AUTO,CALC=CALA,DATE=NOW')&lt;/Q&gt;&lt;R&gt;11&lt;/R&gt;&lt;C&gt;1&lt;/C&gt;&lt;D xsi:type="xsd:double"&gt;0.8729891&lt;/D&gt;&lt;D xsi:type="xsd:double"&gt;0.7244274&lt;/D&gt;&lt;D xsi:type="xsd:double"&gt;0.78684574&lt;/D&gt;&lt;D xsi:type="xsd:double"&gt;0.7758283&lt;/D&gt;&lt;D xsi:type="xsd:double"&gt;-0.12416705&lt;/D&gt;&lt;D xsi:type="xsd:double"&gt;0.27144504&lt;/D&gt;&lt;D xsi:type="xsd:double"&gt;0.84641874&lt;/D&gt;&lt;D xsi:type="xsd:double"&gt;0.93103665&lt;/D&gt;&lt;D xsi:type="xsd:double"&gt;1.412118&lt;/D&gt;&lt;D xsi:type="xsd:string"&gt;@NA&lt;/D&gt;&lt;D xsi:type="xsd:string"&gt;@NA&lt;/D&gt;&lt;/FQL&gt;&lt;FQL&gt;&lt;Q&gt;GSF-NO^FE_TIMESERIES(SALES,MEAN,2016,2026,CY,'BKRACTMED=1,WIN=0,CURRENCY=USD,UNITS=AUTO,CALC=CALA,DATE=NOW')&lt;/Q&gt;&lt;R&gt;11&lt;/R&gt;&lt;C&gt;1&lt;/C&gt;&lt;D xsi:type="xsd:double"&gt;788.1201&lt;/D&gt;&lt;D xsi:type="xsd:double"&gt;901.851&lt;/D&gt;&lt;D xsi:type="xsd:double"&gt;873.86163&lt;/D&gt;&lt;D xsi:type="xsd:double"&gt;896.767&lt;/D&gt;&lt;D xsi:type="xsd:double"&gt;701.7212&lt;/D&gt;&lt;D xsi:type="xsd:double"&gt;594.25775&lt;/D&gt;&lt;D xsi:type="xsd:double"&gt;728.39923&lt;/D&gt;&lt;D xsi:type="xsd:double"&gt;763.1131&lt;/D&gt;&lt;D xsi:type="xsd:double"&gt;879.93835&lt;/D&gt;&lt;D xsi:type="xsd:string"&gt;@NA&lt;/D&gt;&lt;D xsi:type="xsd:string"&gt;@NA&lt;/D&gt;&lt;/FQL&gt;&lt;FQL&gt;&lt;Q&gt;GSF-NO^FE_TIMESERIES(NETSALES,MEAN,2016,2026,CY,'BKRACTMED=1,WIN=0,CURRENCY=USD,UNITS=AUTO,CALC=CALA,DATE=NOW')&lt;/Q&gt;&lt;R&gt;11&lt;/R&gt;&lt;C&gt;1&lt;/C&gt;&lt;D xsi:type="xsd:string"&gt;@NA&lt;/D&gt;&lt;D xsi:type="xsd:double"&gt;899.993&lt;/D&gt;&lt;D xsi:type="xsd:double"&gt;873.86163&lt;/D&gt;&lt;D xsi:type="xsd:double"&gt;896.98303&lt;/D&gt;&lt;D xsi:type="xsd:double"&gt;702.1942&lt;/D&gt;&lt;D xsi:type="xsd:double"&gt;564.48047&lt;/D&gt;&lt;D xsi:type="xsd:double"&gt;689.69086&lt;/D&gt;&lt;D xsi:type="xsd:string"&gt;@NA&lt;/D&gt;&lt;D xsi:type="xsd:string"&gt;@NA&lt;/D&gt;&lt;D xsi:type="xsd:string"&gt;@NA&lt;/D&gt;&lt;D xsi:type="xsd:string"&gt;@NA&lt;/D&gt;&lt;/FQL&gt;&lt;FQL&gt;&lt;Q&gt;GSF-NO^FE_TIMESERIES(TOTALREV,MEAN,2016,2026,CY,'BKRACTMED=1,WIN=0,CURRENCY=USD,UNITS=AUTO,CALC=CALA,DATE=NOW')&lt;/Q&gt;&lt;R&gt;11&lt;/R&gt;&lt;C&gt;1&lt;/C&gt;&lt;D xsi:type="xsd:double"&gt;795.20276&lt;/D&gt;&lt;D xsi:type="xsd:double"&gt;901.851&lt;/D&gt;&lt;D xsi:type="xsd:double"&gt;873.86163&lt;/D&gt;&lt;D xsi:type="xsd:double"&gt;896.98303&lt;/D&gt;&lt;D xsi:type="xsd:double"&gt;702.1942&lt;/D&gt;&lt;D xsi:type="xsd:double"&gt;565.2271&lt;/D&gt;&lt;D xsi:type="xsd:double"&gt;669.3011&lt;/D&gt;&lt;D xsi:type="xsd:double"&gt;714.216&lt;/D&gt;&lt;D xsi:type="xsd:string"&gt;@NA&lt;/D&gt;&lt;D xsi:type="xsd:string"&gt;@NA&lt;/D&gt;&lt;D xsi:type="xsd:string"&gt;@NA&lt;/D&gt;&lt;/FQL&gt;&lt;FQL&gt;&lt;Q&gt;GSF-NO^FE_TIMESERIES(COS,MEAN,2016,2026,CY,'BKRACTMED=1,WIN=0,CURRENCY=USD,UNITS=AUTO,CALC=CALA,DATE=NOW')&lt;/Q&gt;&lt;R&gt;11&lt;/R&gt;&lt;C&gt;1&lt;/C&gt;&lt;D xsi:type="xsd:double"&gt;485.984&lt;/D&gt;&lt;D xsi:type="xsd:double"&gt;644.161&lt;/D&gt;&lt;D xsi:type="xsd:double"&gt;689.8786&lt;/D&gt;&lt;D xsi:type="xsd:double"&gt;451.73206&lt;/D&gt;&lt;D xsi:type="xsd:double"&gt;364.10507&lt;/D&gt;&lt;D xsi:type="xsd:double"&gt;288.96024&lt;/D&gt;&lt;D xsi:type="xsd:double"&gt;313.08334&lt;/D&gt;&lt;D xsi:type="xsd:double"&gt;324.4748&lt;/D&gt;&lt;D xsi:type="xsd:string"&gt;@NA&lt;/D&gt;&lt;D xsi:type="xsd:string"&gt;@NA&lt;/D&gt;&lt;D xsi:type="xsd:string"&gt;@NA&lt;/D&gt;&lt;/FQL&gt;&lt;FQL&gt;&lt;Q&gt;GSF-NO^FE_TIMESERIES(GROSSINCOME,MEAN,2016,2026,CY,'BKRACTMED=1,WIN=0,CURRENCY=USD,UNITS=AUTO,CALC=CALA,DATE=NOW')&lt;/Q&gt;&lt;R&gt;11&lt;/R&gt;&lt;C&gt;1&lt;/C&gt;&lt;D xsi:type="xsd:double"&gt;278.333&lt;/D&gt;&lt;D xsi:type="xsd:double"&gt;385.57397&lt;/D&gt;&lt;D xsi:type="xsd:double"&gt;154.36063&lt;/D&gt;&lt;D xsi:type="xsd:double"&gt;303.53113&lt;/D&gt;&lt;D xsi:type="xsd:double"&gt;211.67525&lt;/D&gt;&lt;D xsi:type="xsd:double"&gt;319.68848&lt;/D&gt;&lt;D xsi:type="xsd:double"&gt;431.63113&lt;/D&gt;&lt;D xsi:type="xsd:double"&gt;404.2342&lt;/D&gt;&lt;D xsi:type="xsd:string"&gt;@NA&lt;/D&gt;&lt;D xsi:type="xsd:string"&gt;@NA&lt;/D&gt;&lt;D xsi:type="xsd:string"&gt;@NA&lt;/D&gt;&lt;/FQL&gt;&lt;FQL&gt;&lt;Q&gt;GSF-NO^FE_TIMESERIES(SGA,MEAN,2016,2026,CY,'BKRACTMED=1,WIN=0,CURRENCY=USD,UNITS=AUTO,CALC=CALA,DATE=NOW')&lt;/Q&gt;&lt;R&gt;11&lt;/R&gt;&lt;C&gt;1&lt;/C&gt;&lt;D xsi:type="xsd:string"&gt;@NA&lt;/D&gt;&lt;D xsi:type="xsd:string"&gt;@NA&lt;/D&gt;&lt;D xsi:type="xsd:double"&gt;62.60052&lt;/D&gt;&lt;D xsi:type="xsd:double"&gt;65.999115&lt;/D&gt;&lt;D xsi:type="xsd:double"&gt;71.18911&lt;/D&gt;&lt;D xsi:type="xsd:double"&gt;76.73442&lt;/D&gt;&lt;D xsi:type="xsd:double"&gt;90.86366&lt;/D&gt;&lt;D xsi:type="xsd:double"&gt;95.45854&lt;/D&gt;&lt;D xsi:type="xsd:string"&gt;@NA&lt;/D&gt;&lt;D xsi:type="xsd:string"&gt;@NA&lt;/D&gt;&lt;D xsi:type="xsd:string"&gt;@NA&lt;/D&gt;&lt;/FQL&gt;&lt;FQL&gt;&lt;Q&gt;GSF-NO^FE_TIMESERIES(RD_EXP,MEAN,2016,2026,CY,'BKRACTMED=1,WIN=0,CURRENCY=USD,UNITS=AUTO,CALC=CALA,DATE=NOW')&lt;/Q&gt;&lt;R&gt;11&lt;/R&gt;&lt;C&gt;1&lt;/C&gt;&lt;D xsi:type="xsd:double"&gt;0&lt;/D&gt;&lt;D xsi:type="xsd:string"&gt;@NA&lt;/D&gt;&lt;D xsi:type="xsd:string"&gt;@NA&lt;/D&gt;&lt;D xsi:type="xsd:string"&gt;@NA&lt;/D&gt;&lt;D xsi:type="xsd:string"&gt;@NA&lt;/D&gt;&lt;D xsi:type="xsd:double"&gt;0&lt;/D&gt;&lt;D xsi:type="xsd:double"&gt;0&lt;/D&gt;&lt;D xsi:type="xsd:double"&gt;0&lt;/D&gt;&lt;D xsi:type="xsd:string"&gt;@NA&lt;/D&gt;&lt;D xsi:type="xsd:string"&gt;@NA&lt;/D&gt;&lt;D xsi:type="xsd:string"&gt;@NA&lt;/D&gt;&lt;/FQL&gt;&lt;FQL&gt;&lt;Q&gt;GSF-NO^FE_TIMESERIES(EBITDA,MEAN,2016,2026,CY,'BKRACTMED=1,WIN=0,CURRENCY=USD,UNITS=AUTO,CALC=CALA,DATE=NOW')&lt;/Q&gt;&lt;R&gt;11&lt;/R&gt;&lt;C&gt;1&lt;/C&gt;&lt;D xsi:type="xsd:double"&gt;161.59329&lt;/D&gt;&lt;D xsi:type="xsd:double"&gt;141.46683&lt;/D&gt;&lt;D xsi:type="xsd:double"&gt;154.41501&lt;/D&gt;&lt;D xsi:type="xsd:double"&gt;161.81125&lt;/D&gt;&lt;D xsi:type="xsd:double"&gt;59.836693&lt;/D&gt;&lt;D xsi:type="xsd:double"&gt;100.21043&lt;/D&gt;&lt;D xsi:type="xsd:double"&gt;185.60233&lt;/D&gt;&lt;D xsi:type="xsd:double"&gt;207.90276&lt;/D&gt;&lt;D xsi:type="xsd:double"&gt;262.76218&lt;/D&gt;&lt;D xsi:type="xsd:string"&gt;@NA&lt;/D&gt;&lt;D xsi:type="xsd:string"&gt;@NA&lt;/D&gt;&lt;/FQL&gt;&lt;FQL&gt;&lt;Q&gt;GSF-NO^FE_TIMESERIES(EBITDA_ADJ,MEAN,2016,2026,CY,'BKRACTMED=1,WIN=0,CURRENCY=USD,UNITS=AUTO,CALC=CALA,DATE=NOW')&lt;/Q&gt;&lt;R&gt;11&lt;/R&gt;&lt;C&gt;1&lt;/C&gt;&lt;D xsi:type="xsd:double"&gt;161.57283&lt;/D&gt;&lt;D xsi:type="xsd:double"&gt;141.46683&lt;/D&gt;&lt;D xsi:type="xsd:double"&gt;154.38782&lt;/D&gt;&lt;D xsi:type="xsd:double"&gt;161.81125&lt;/D&gt;&lt;D xsi:type="xsd:double"&gt;59.836693&lt;/D&gt;&lt;D xsi:type="xsd:double"&gt;98.43611&lt;/D&gt;&lt;D xsi:type="xsd:double"&gt;186.5152&lt;/D&gt;&lt;D xsi:type="xsd:double"&gt;211.4332&lt;/D&gt;&lt;D xsi:type="xsd:string"&gt;@NA&lt;/D&gt;&lt;D xsi:type="xsd:string"&gt;@NA&lt;/D&gt;&lt;D xsi:type="xsd:string"&gt;@NA&lt;/D&gt;&lt;/FQL&gt;&lt;FQL&gt;&lt;Q&gt;GSF-NO^FE_TIMESERIES(EBITDA_REP,MEAN,2016,2026,CY,'BKRACTMED=1,WIN=0,CURRENCY=USD,UNITS=AUTO,CALC=CALA,DATE=NOW')&lt;/Q&gt;&lt;R&gt;11&lt;/R&gt;&lt;C&gt;1&lt;/C&gt;&lt;D xsi:type="xsd:double"&gt;161.59329&lt;/D&gt;&lt;D xsi:type="xsd:double"&gt;141.46683&lt;/D&gt;&lt;D xsi:type="xsd:double"&gt;154.38782&lt;/D&gt;&lt;D xsi:type="xsd:double"&gt;161.81125&lt;/D&gt;&lt;D xsi:type="xsd:double"&gt;59.646774&lt;/D&gt;&lt;D xsi:type="xsd:double"&gt;97.28587&lt;/D&gt;&lt;D xsi:type="xsd:double"&gt;181.95248&lt;/D&gt;&lt;D xsi:type="xsd:double"&gt;203.17966&lt;/D&gt;&lt;D xsi:type="xsd:string"&gt;@NA&lt;/D&gt;&lt;D xsi:type="xsd:string"&gt;@NA&lt;/D&gt;&lt;D xsi:type="xsd:string"&gt;@NA&lt;/D&gt;&lt;/FQL&gt;&lt;FQL&gt;&lt;Q&gt;GSF-NO^FE_TIMESERIES(DEPR_AMORT,MEAN,2016,2026,CY,'BKRACTMED=1,WIN=0,CURRENCY=USD,UNITS=AUTO,CALC=CALA,DATE=NOW')&lt;/Q&gt;&lt;R&gt;11&lt;/R&gt;&lt;C&gt;1&lt;/C&gt;&lt;D xsi:type="xsd:double"&gt;21.072151&lt;/D&gt;&lt;D xsi:type="xsd:double"&gt;25.692118&lt;/D&gt;&lt;D xsi:type="xsd:double"&gt;27.308176&lt;/D&gt;&lt;D xsi:type="xsd:double"&gt;44.395477&lt;/D&gt;&lt;D xsi:type="xsd:double"&gt;55.816044&lt;/D&gt;&lt;D xsi:type="xsd:double"&gt;42.67819&lt;/D&gt;&lt;D xsi:type="xsd:double"&gt;45.753475&lt;/D&gt;&lt;D xsi:type="xsd:double"&gt;53.572422&lt;/D&gt;&lt;D xsi:type="xsd:string"&gt;@NA&lt;/D&gt;&lt;D xsi:type="xsd:string"&gt;@NA&lt;/D&gt;&lt;D xsi:type="xsd:string"&gt;@NA&lt;/D&gt;&lt;/FQL&gt;&lt;FQL&gt;&lt;Q&gt;GSF-NO^FE_TIMESERIES(EBIT,MEAN,2016,2026,CY,'BKRACTMED=1,WIN=0,CURRENCY=USD,UNITS=AUTO,CALC=CALA,DATE=NOW')&lt;/Q&gt;&lt;R&gt;11&lt;/R&gt;&lt;C&gt;1&lt;/C&gt;&lt;D xsi:type="xsd:double"&gt;202.65388&lt;/D&gt;&lt;D xsi:type="xsd:double"&gt;104.04987&lt;/D&gt;&lt;D xsi:type="xsd:double"&gt;156.78017&lt;/D&gt;&lt;D xsi:type="xsd:double"&gt;93.65177&lt;/D&gt;&lt;D xsi:type="xsd:double"&gt;4.1389017&lt;/D&gt;&lt;D xsi:type="xsd:double"&gt;57.379333&lt;/D&gt;&lt;D xsi:type="xsd:double"&gt;139.5659&lt;/D&gt;&lt;D xsi:type="xsd:double"&gt;154.31123&lt;/D&gt;&lt;D xsi:type="xsd:double"&gt;217.23293&lt;/D&gt;&lt;D xsi:type="xsd:string"&gt;@NA&lt;/D&gt;&lt;D xsi:type="xsd:string"&gt;@NA&lt;/D&gt;&lt;/FQL&gt;&lt;FQL&gt;&lt;Q&gt;GSF-NO^FE_TIMESERIES(EBITA,MEAN,2016,2026,CY,'BKRACTMED=1,WIN=0,CURRENCY=USD,UNITS=AUTO,CALC=CALA,DATE=NOW')&lt;/Q&gt;&lt;R&gt;11&lt;/R&gt;&lt;C&gt;1&lt;/C&gt;&lt;D xsi:type="xsd:double"&gt;140.52115&lt;/D&gt;&lt;D xsi:type="xsd:double"&gt;115.198074&lt;/D&gt;&lt;D xsi:type="xsd:double"&gt;127.16816&lt;/D&gt;&lt;D xsi:type="xsd:double"&gt;117.41577&lt;/D&gt;&lt;D xsi:type="xsd:double"&gt;4.1110525&lt;/D&gt;&lt;D xsi:type="xsd:double"&gt;59.61851&lt;/D&gt;&lt;D xsi:type="xsd:double"&gt;136.2955&lt;/D&gt;&lt;D xsi:type="xsd:double"&gt;149.3909&lt;/D&gt;&lt;D xsi:type="xsd:string"&gt;@NA&lt;/D&gt;&lt;D xsi:type="xsd:string"&gt;@NA&lt;/D&gt;&lt;D xsi:type="xsd:string"&gt;@NA&lt;/D&gt;&lt;/FQL&gt;&lt;FQL&gt;&lt;Q&gt;GSF-NO^FE_TIMESERIES(EBIT_ADJ,MEAN,2016,2026,CY,'BKRACTMED=1,WIN=0,CURRENCY=USD,UNITS=AUTO,CALC=CALA,DATE=NOW')&lt;/Q&gt;&lt;R&gt;11&lt;/R&gt;&lt;C&gt;1&lt;/C&gt;&lt;D xsi:type="xsd:double"&gt;140.64156&lt;/D&gt;&lt;D xsi:type="xsd:double"&gt;115.838776&lt;/D&gt;&lt;D xsi:type="xsd:double"&gt;127.16816&lt;/D&gt;&lt;D xsi:type="xsd:double"&gt;117.52379&lt;/D&gt;&lt;D xsi:type="xsd:double"&gt;4.1389017&lt;/D&gt;&lt;D xsi:type="xsd:double"&gt;57.379333&lt;/D&gt;&lt;D xsi:type="xsd:double"&gt;139.5659&lt;/D&gt;&lt;D xsi:type="xsd:double"&gt;154.31123&lt;/D&gt;&lt;D xsi:type="xsd:double"&gt;217.23293&lt;/D&gt;&lt;D xsi:type="xsd:string"&gt;@NA&lt;/D&gt;&lt;D xsi:type="xsd:string"&gt;@NA&lt;/D&gt;&lt;/FQL&gt;&lt;FQL&gt;&lt;Q&gt;GSF-NO^FE_TIMESERIES(EBITR,MEAN,2016,2026,CY,'BKRACTMED=1,WIN=0,CURRENCY=USD,UNITS=AUTO,CALC=CALA,DATE=NOW')&lt;/Q&gt;&lt;R&gt;11&lt;/R&gt;&lt;C&gt;1&lt;/C&gt;&lt;D xsi:type="xsd:double"&gt;202.65388&lt;/D&gt;&lt;D xsi:type="xsd:double"&gt;104.04987&lt;/D&gt;&lt;D xsi:type="xsd:double"&gt;156.78017&lt;/D&gt;&lt;D xsi:type="xsd:double"&gt;93.65177&lt;/D&gt;&lt;D xsi:type="xsd:double"&gt;-53.687466&lt;/D&gt;&lt;D xsi:type="xsd:double"&gt;83.36968&lt;/D&gt;&lt;D xsi:type="xsd:double"&gt;139.4827&lt;/D&gt;&lt;D xsi:type="xsd:double"&gt;156.13387&lt;/D&gt;&lt;D xsi:type="xsd:string"&gt;@NA&lt;/D&gt;&lt;D xsi:type="xsd:string"&gt;@NA&lt;/D&gt;&lt;D xsi:type="xsd:string"&gt;@NA&lt;/D&gt;&lt;/FQL&gt;&lt;FQL&gt;&lt;Q&gt;GSF-NO^FE_TIMESERIES(INTEXP,MEAN,2016,2026,CY,'BKRACTMED=1,WIN=0,CURRENCY=USD,UNITS=AUTO,CALC=CALA,DATE=NOW')&lt;/Q&gt;&lt;R&gt;11&lt;/R&gt;&lt;C&gt;1&lt;/C&gt;&lt;D xsi:type="xsd:double"&gt;9.283788&lt;/D&gt;&lt;D xsi:type="xsd:string"&gt;@NA&lt;/D&gt;&lt;D xsi:type="xsd:string"&gt;@NA&lt;/D&gt;&lt;D xsi:type="xsd:double"&gt;2.8084729&lt;/D&gt;&lt;D xsi:type="xsd:double"&gt;27.908022&lt;/D&gt;&lt;D xsi:type="xsd:double"&gt;8.041032&lt;/D&gt;&lt;D xsi:type="xsd:double"&gt;8.041032&lt;/D&gt;&lt;D xsi:type="xsd:string"&gt;@NA&lt;/D&gt;&lt;D xsi:type="xsd:string"&gt;@NA&lt;/D&gt;&lt;D xsi:type="xsd:string"&gt;@NA&lt;/D&gt;&lt;D xsi:type="xsd:string"&gt;@NA&lt;/D&gt;&lt;/FQL&gt;&lt;FQL&gt;&lt;Q&gt;GSF-NO^FE_TIMESERIES(PTP,MEAN,2016,2026,CY,'BKRACTMED=1,WIN=0,CURRENCY=USD,UNITS=AUTO,CALC=CALA,DATE=NOW')&lt;/Q&gt;&lt;R&gt;11&lt;/R&gt;&lt;C&gt;1&lt;/C&gt;&lt;D xsi:type="xsd:double"&gt;187.96358&lt;/D&gt;&lt;D xsi:type="xsd:double"&gt;102.25591&lt;/D&gt;&lt;D xsi:type="xsd:double"&gt;147.765&lt;/D&gt;&lt;D xsi:type="xsd:double"&gt;90.8433&lt;/D&gt;&lt;D xsi:type="xsd:double"&gt;-81.59549&lt;/D&gt;&lt;D xsi:type="xsd:double"&gt;89.46963&lt;/D&gt;&lt;D xsi:type="xsd:double"&gt;126.79536&lt;/D&gt;&lt;D xsi:type="xsd:double"&gt;140.45003&lt;/D&gt;&lt;D xsi:type="xsd:double"&gt;210.1477&lt;/D&gt;&lt;D xsi:type="xsd:string"&gt;@NA&lt;/D&gt;&lt;D xsi:type="xsd:string"&gt;@NA&lt;/D&gt;&lt;/FQL&gt;&lt;FQL&gt;&lt;Q&gt;GSF-NO^FE_TIMESERIES(PTPA,MEAN,2016,2026,CY,'BKRACTMED=1,WIN=0,CURRENCY=USD,UNITS=AUTO,CALC=CALA,DATE=NOW')&lt;/Q&gt;&lt;R&gt;11&lt;/R&gt;&lt;C&gt;1&lt;/C&gt;&lt;D xsi:type="xsd:double"&gt;125.833855&lt;/D&gt;&lt;D xsi:type="xsd:double"&gt;113.82352&lt;/D&gt;&lt;D xsi:type="xsd:double"&gt;118.14258&lt;/D&gt;&lt;D xsi:type="xsd:double"&gt;114.6073&lt;/D&gt;&lt;D xsi:type="xsd:double"&gt;-23.79277&lt;/D&gt;&lt;D xsi:type="xsd:double"&gt;77.44541&lt;/D&gt;&lt;D xsi:type="xsd:double"&gt;137.51634&lt;/D&gt;&lt;D xsi:type="xsd:double"&gt;143.87704&lt;/D&gt;&lt;D xsi:type="xsd:string"&gt;@NA&lt;/D&gt;&lt;D xsi:type="xsd:string"&gt;@NA&lt;/D&gt;&lt;D xsi:type="xsd:string"&gt;@NA&lt;/D&gt;&lt;/FQL&gt;&lt;FQL&gt;&lt;Q&gt;GSF-NO^FE_TIMESERIES(PTPBG,MEAN,2016,2026,CY,'BKRACTMED=1,WIN=0,CURRENCY=USD,UNITS=AUTO,CALC=CALA,DATE=NOW')&lt;/Q&gt;&lt;R&gt;11&lt;/R&gt;&lt;C&gt;1&lt;/C&gt;&lt;D xsi:type="xsd:double"&gt;187.96358&lt;/D&gt;&lt;D xsi:type="xsd:double"&gt;102.25591&lt;/D&gt;&lt;D xsi:type="xsd:double"&gt;147.765&lt;/D&gt;&lt;D xsi:type="xsd:double"&gt;90.8433&lt;/D&gt;&lt;D xsi:type="xsd:double"&gt;-81.59549&lt;/D&gt;&lt;D xsi:type="xsd:double"&gt;89.46963&lt;/D&gt;&lt;D xsi:type="xsd:double"&gt;126.79536&lt;/D&gt;&lt;D xsi:type="xsd:double"&gt;140.45003&lt;/D&gt;&lt;D xsi:type="xsd:double"&gt;210.1477&lt;/D&gt;&lt;D xsi:type="xsd:string"&gt;@NA&lt;/D&gt;&lt;D xsi:type="xsd:string"&gt;@NA&lt;/D&gt;&lt;/FQL&gt;&lt;FQL&gt;&lt;Q&gt;GSF-NO^FE_TIMESERIES(TAX_EXPENSE,MEAN,2016,2026,CY,'BKRACTMED=1,WIN=0,CURRENCY=USD,UNITS=AUTO,CALC=CALA,DATE=NOW')&lt;/Q&gt;&lt;R&gt;11&lt;/R&gt;&lt;C&gt;1&lt;/C&gt;&lt;D xsi:type="xsd:double"&gt;41.301414&lt;/D&gt;&lt;D xsi:type="xsd:double"&gt;27.29387&lt;/D&gt;&lt;D xsi:type="xsd:double"&gt;35.292347&lt;/D&gt;&lt;D xsi:type="xsd:double"&gt;20.955528&lt;/D&gt;&lt;D xsi:type="xsd:double"&gt;-13.835756&lt;/D&gt;&lt;D xsi:type="xsd:double"&gt;21.233248&lt;/D&gt;&lt;D xsi:type="xsd:double"&gt;31.164743&lt;/D&gt;&lt;D xsi:type="xsd:double"&gt;35.31545&lt;/D&gt;&lt;D xsi:type="xsd:string"&gt;@NA&lt;/D&gt;&lt;D xsi:type="xsd:string"&gt;@NA&lt;/D&gt;&lt;D xsi:type="xsd:string"&gt;@NA&lt;/D&gt;&lt;/FQL&gt;&lt;FQL&gt;&lt;Q&gt;GSF-NO^FE_TIMESERIES(NETPROFIT,MEAN,2016,2026,CY,'BKRACTMED=1,WIN=0,CURRENCY=USD,UNITS=AUTO,CALC=CALA,DATE=NOW')&lt;/Q&gt;&lt;R&gt;11&lt;/R&gt;&lt;C&gt;1&lt;/C&gt;&lt;D xsi:type="xsd:double"&gt;142.32733&lt;/D&gt;&lt;D xsi:type="xsd:double"&gt;71.109886&lt;/D&gt;&lt;D xsi:type="xsd:double"&gt;109.69556&lt;/D&gt;&lt;D xsi:type="xsd:double"&gt;67.18732&lt;/D&gt;&lt;D xsi:type="xsd:double"&gt;-62.260906&lt;/D&gt;&lt;D xsi:type="xsd:double"&gt;69.40338&lt;/D&gt;&lt;D xsi:type="xsd:double"&gt;96.43265&lt;/D&gt;&lt;D xsi:type="xsd:double"&gt;106.83086&lt;/D&gt;&lt;D xsi:type="xsd:double"&gt;157.61078&lt;/D&gt;&lt;D xsi:type="xsd:string"&gt;@NA&lt;/D&gt;&lt;D xsi:type="xsd:string"&gt;@NA&lt;/D&gt;&lt;/FQL&gt;&lt;FQL&gt;&lt;Q&gt;GSF-NO^FE_TIMESERIES(NETBG,MEAN,2016,2026,CY,'BKRACTMED=1,WIN=0,CURRENCY=USD,UNITS=AUTO,CALC=CALA,DATE=NOW')&lt;/Q&gt;&lt;R&gt;11&lt;/R&gt;&lt;C&gt;1&lt;/C&gt;&lt;D xsi:type="xsd:double"&gt;96.26962&lt;/D&gt;&lt;D xsi:type="xsd:double"&gt;80.06522&lt;/D&gt;&lt;D xsi:type="xsd:double"&gt;87.47874&lt;/D&gt;&lt;D xsi:type="xsd:double"&gt;85.39918&lt;/D&gt;&lt;D xsi:type="xsd:double"&gt;-14.013138&lt;/D&gt;&lt;D xsi:type="xsd:double"&gt;34.527122&lt;/D&gt;&lt;D xsi:type="xsd:double"&gt;95.74112&lt;/D&gt;&lt;D xsi:type="xsd:double"&gt;105.38101&lt;/D&gt;&lt;D xsi:type="xsd:double"&gt;160.2197&lt;/D&gt;&lt;D xsi:type="xsd:string"&gt;@NA&lt;/D&gt;&lt;D xsi:type="xsd:string"&gt;@NA&lt;/D&gt;&lt;/FQL&gt;&lt;FQL&gt;&lt;Q&gt;GSF-NO^FE_TIMESERIES(BFNG,MEAN,2016,2026,CY,'BKRACTMED=1,WIN=0,CURRENCY=USD,UNITS=AUTO,CALC=CALA,DATE=NOW')&lt;/Q&gt;&lt;R&gt;11&lt;/R&gt;&lt;C&gt;1&lt;/C&gt;&lt;D xsi:type="xsd:double"&gt;142.32733&lt;/D&gt;&lt;D xsi:type="xsd:double"&gt;71.109886&lt;/D&gt;&lt;D xsi:type="xsd:double"&gt;109.69556&lt;/D&gt;&lt;D xsi:type="xsd:double"&gt;67.18732&lt;/D&gt;&lt;D xsi:type="xsd:double"&gt;-62.260906&lt;/D&gt;&lt;D xsi:type="xsd:double"&gt;69.40338&lt;/D&gt;&lt;D xsi:type="xsd:double"&gt;96.43265&lt;/D&gt;&lt;D xsi:type="xsd:double"&gt;106.83086&lt;/D&gt;&lt;D xsi:type="xsd:double"&gt;157.61078&lt;/D&gt;&lt;D xsi:type="xsd:string"&gt;@NA&lt;/D&gt;&lt;D xsi:type="xsd:string"&gt;@NA&lt;/D&gt;&lt;/FQL&gt;&lt;FQL&gt;&lt;Q&gt;GSF-NO^FE_TIMESERIES(CURRENTASSETS,MEAN,2016,2026,CY,'BKRACTMED=1,WIN=0,CURRENCY=USD,UNITS=AUTO,CALC=CALA,DATE=NOW')&lt;/Q&gt;&lt;R&gt;11&lt;/R&gt;&lt;C&gt;1&lt;/C&gt;&lt;D xsi:type="xsd:double"&gt;488.75348&lt;/D&gt;&lt;D xsi:type="xsd:double"&gt;521.78705&lt;/D&gt;&lt;D xsi:type="xsd:double"&gt;528.4595&lt;/D&gt;&lt;D xsi:type="xsd:double"&gt;500.34027&lt;/D&gt;&lt;D xsi:type="xsd:double"&gt;619.8892&lt;/D&gt;&lt;D xsi:type="xsd:double"&gt;703.2917&lt;/D&gt;&lt;D xsi:type="xsd:double"&gt;744.7374&lt;/D&gt;&lt;D xsi:type="xsd:double"&gt;759.8488&lt;/D&gt;&lt;D xsi:type="xsd:string"&gt;@NA&lt;/D&gt;&lt;D xsi:type="xsd:string"&gt;@NA&lt;/D&gt;&lt;D xsi:type="xsd:string"&gt;@NA&lt;/D&gt;&lt;/FQL&gt;&lt;FQL&gt;&lt;Q&gt;GSF-NO^FE_TIMESERIES(CURRENTLIABILITIES,MEAN,2016,2026,CY,'BKRACTMED=1,WIN=0,CURRENCY=USD,UNITS=AUTO,CALC=CALA,DATE=NOW')&lt;/Q&gt;&lt;R&gt;11&lt;/R&gt;&lt;C&gt;1&lt;/C&gt;&lt;D xsi:type="xsd:double"&gt;140.76196&lt;/D&gt;&lt;D xsi:type="xsd:double"&gt;183.36868&lt;/D&gt;&lt;D xsi:type="xsd:double"&gt;194.39719&lt;/D&gt;&lt;D xsi:type="xsd:double"&gt;184.60309&lt;/D&gt;&lt;D xsi:type="xsd:double"&gt;172.88783&lt;/D&gt;&lt;D xsi:type="xsd:double"&gt;226.43547&lt;/D&gt;&lt;D xsi:type="xsd:double"&gt;215.49966&lt;/D&gt;&lt;D xsi:type="xsd:double"&gt;280.34485&lt;/D&gt;&lt;D xsi:type="xsd:string"&gt;@NA&lt;/D&gt;&lt;D xsi:type="xsd:string"&gt;@NA&lt;/D&gt;&lt;D xsi:type="xsd:string"&gt;@NA&lt;/D&gt;&lt;/FQL&gt;&lt;FQL&gt;&lt;Q&gt;GSF-NO^FE_TIMESERIES(TOTASSET,MEAN,2016,2026,CY,'BKRACTMED=1,WIN=0,CURRENCY=USD,UNITS=AUTO,CALC=CALA,DATE=NOW')&lt;/Q&gt;&lt;R&gt;11&lt;/R&gt;&lt;C&gt;1&lt;/C&gt;&lt;D xsi:type="xsd:double"&gt;814.46875&lt;/D&gt;&lt;D xsi:type="xsd:double"&gt;916.58716&lt;/D&gt;&lt;D xsi:type="xsd:double"&gt;943.7521&lt;/D&gt;&lt;D xsi:type="xsd:double"&gt;965.1425&lt;/D&gt;&lt;D xsi:type="xsd:double"&gt;1258.9355&lt;/D&gt;&lt;D xsi:type="xsd:double"&gt;1327.6565&lt;/D&gt;&lt;D xsi:type="xsd:double"&gt;1397.6627&lt;/D&gt;&lt;D xsi:type="xsd:double"&gt;1506.8894&lt;/D&gt;&lt;D xsi:type="xsd:string"&gt;@NA&lt;/D&gt;&lt;D xsi:type="xsd:string"&gt;@NA&lt;/D&gt;&lt;D xsi:type="xsd:string"&gt;@NA&lt;/D&gt;&lt;/FQL&gt;&lt;FQL&gt;&lt;Q&gt;GSF-NO^FE_TIMESERIES(DEBT_ST,MEAN,2016,2026,CY,'BKRACTMED=1,WIN=0,CURRENCY=USD,UNITS=AUTO,CALC=CALA,DATE=NOW')&lt;/Q&gt;&lt;R&gt;11&lt;/R&gt;&lt;C&gt;1&lt;/C&gt;&lt;D xsi:type="xsd:string"&gt;@NA&lt;/D&gt;&lt;D xsi:type="xsd:double"&gt;52.217148&lt;/D&gt;&lt;D xsi:type="xsd:double"&gt;58.839863&lt;/D&gt;&lt;D xsi:type="xsd:double"&gt;19.443274&lt;/D&gt;&lt;D xsi:type="xsd:double"&gt;30.509617&lt;/D&gt;&lt;D xsi:type="xsd:double"&gt;72.48416&lt;/D&gt;&lt;D xsi:type="xsd:double"&gt;63.29441&lt;/D&gt;&lt;D xsi:type="xsd:double"&gt;63.29441&lt;/D&gt;&lt;D xsi:type="xsd:string"&gt;@NA&lt;/D&gt;&lt;D xsi:type="xsd:string"&gt;@NA&lt;/D&gt;&lt;D xsi:type="xsd:string"&gt;@NA&lt;/D&gt;&lt;/FQL&gt;&lt;FQL&gt;&lt;Q&gt;GSF-NO^FE_TIMESERIES(DEBT_LT,MEAN,2016,2</t>
        </r>
      </text>
    </comment>
    <comment ref="A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026,CY,'BKRACTMED=1,WIN=0,CURRENCY=USD,UNITS=AUTO,CALC=CALA,DATE=NOW')&lt;/Q&gt;&lt;R&gt;11&lt;/R&gt;&lt;C&gt;1&lt;/C&gt;&lt;D xsi:type="xsd:string"&gt;@NA&lt;/D&gt;&lt;D xsi:type="xsd:double"&gt;178.62749&lt;/D&gt;&lt;D xsi:type="xsd:double"&gt;184.09875&lt;/D&gt;&lt;D xsi:type="xsd:double"&gt;224.40779&lt;/D&gt;&lt;D xsi:type="xsd:double"&gt;462.1379&lt;/D&gt;&lt;D xsi:type="xsd:double"&gt;386.77365&lt;/D&gt;&lt;D xsi:type="xsd:double"&gt;380.58972&lt;/D&gt;&lt;D xsi:type="xsd:double"&gt;374.1952&lt;/D&gt;&lt;D xsi:type="xsd:string"&gt;@NA&lt;/D&gt;&lt;D xsi:type="xsd:string"&gt;@NA&lt;/D&gt;&lt;D xsi:type="xsd:string"&gt;@NA&lt;/D&gt;&lt;/FQL&gt;&lt;FQL&gt;&lt;Q&gt;GSF-NO^FE_TIMESERIES(TOTALDEBT,MEAN,2016,2026,CY,'BKRACTMED=1,WIN=0,CURRENCY=USD,UNITS=AUTO,CALC=CALA,DATE=NOW')&lt;/Q&gt;&lt;R&gt;11&lt;/R&gt;&lt;C&gt;1&lt;/C&gt;&lt;D xsi:type="xsd:string"&gt;@NA&lt;/D&gt;&lt;D xsi:type="xsd:string"&gt;@NA&lt;/D&gt;&lt;D xsi:type="xsd:double"&gt;242.93863&lt;/D&gt;&lt;D xsi:type="xsd:double"&gt;237.64001&lt;/D&gt;&lt;D xsi:type="xsd:double"&gt;483.48282&lt;/D&gt;&lt;D xsi:type="xsd:double"&gt;430.3101&lt;/D&gt;&lt;D xsi:type="xsd:double"&gt;447.5409&lt;/D&gt;&lt;D xsi:type="xsd:double"&gt;363.45465&lt;/D&gt;&lt;D xsi:type="xsd:string"&gt;@NA&lt;/D&gt;&lt;D xsi:type="xsd:string"&gt;@NA&lt;/D&gt;&lt;D xsi:type="xsd:string"&gt;@NA&lt;/D&gt;&lt;/FQL&gt;&lt;FQL&gt;&lt;Q&gt;GSF-NO^FE_TIMESERIES(INTANG,MEAN,2016,2026,CY,'BKRACTMED=1,WIN=0,CURRENCY=USD,UNITS=AUTO,CALC=CALA,DATE=NOW')&lt;/Q&gt;&lt;R&gt;11&lt;/R&gt;&lt;C&gt;1&lt;/C&gt;&lt;D xsi:type="xsd:double"&gt;127.75744&lt;/D&gt;&lt;D xsi:type="xsd:double"&gt;138.13518&lt;/D&gt;&lt;D xsi:type="xsd:double"&gt;131.39166&lt;/D&gt;&lt;D xsi:type="xsd:double"&gt;129.24376&lt;/D&gt;&lt;D xsi:type="xsd:double"&gt;183.76723&lt;/D&gt;&lt;D xsi:type="xsd:double"&gt;238.2826&lt;/D&gt;&lt;D xsi:type="xsd:double"&gt;238.2826&lt;/D&gt;&lt;D xsi:type="xsd:double"&gt;234.72922&lt;/D&gt;&lt;D xsi:type="xsd:string"&gt;@NA&lt;/D&gt;&lt;D xsi:type="xsd:string"&gt;@NA&lt;/D&gt;&lt;D xsi:type="xsd:string"&gt;@NA&lt;/D&gt;&lt;/FQL&gt;&lt;FQL&gt;&lt;Q&gt;GSF-NO^FE_TIMESERIES(TOTGW,MEAN,2016,2026,CY,'BKRACTMED=1,WIN=0,CURRENCY=USD,UNITS=AUTO,CALC=CALA,DATE=NOW')&lt;/Q&gt;&lt;R&gt;11&lt;/R&gt;&lt;C&gt;1&lt;/C&gt;&lt;D xsi:type="xsd:double"&gt;13.12494&lt;/D&gt;&lt;D xsi:type="xsd:double"&gt;13.967286&lt;/D&gt;&lt;D xsi:type="xsd:double"&gt;12.612675&lt;/D&gt;&lt;D xsi:type="xsd:double"&gt;11.882001&lt;/D&gt;&lt;D xsi:type="xsd:double"&gt;65.985916&lt;/D&gt;&lt;D xsi:type="xsd:double"&gt;72.25442&lt;/D&gt;&lt;D xsi:type="xsd:double"&gt;72.25442&lt;/D&gt;&lt;D xsi:type="xsd:double"&gt;72.25442&lt;/D&gt;&lt;D xsi:type="xsd:string"&gt;@NA&lt;/D&gt;&lt;D xsi:type="xsd:string"&gt;@NA&lt;/D&gt;&lt;D xsi:type="xsd:string"&gt;@NA&lt;/D&gt;&lt;/FQL&gt;&lt;FQL&gt;&lt;Q&gt;GSF-NO^FE_TIMESERIES(NETDEBT,MEAN,2016,2026,CY,'BKRACTMED=1,WIN=0,CURRENCY=USD,UNITS=AUTO,CALC=CALA,DATE=NOW')&lt;/Q&gt;&lt;R&gt;11&lt;/R&gt;&lt;C&gt;1&lt;/C&gt;&lt;D xsi:type="xsd:double"&gt;109.34158&lt;/D&gt;&lt;D xsi:type="xsd:double"&gt;165.8455&lt;/D&gt;&lt;D xsi:type="xsd:double"&gt;196.55847&lt;/D&gt;&lt;D xsi:type="xsd:double"&gt;239.36832&lt;/D&gt;&lt;D xsi:type="xsd:double"&gt;455.9444&lt;/D&gt;&lt;D xsi:type="xsd:double"&gt;315.08548&lt;/D&gt;&lt;D xsi:type="xsd:double"&gt;279.42596&lt;/D&gt;&lt;D xsi:type="xsd:double"&gt;215.21248&lt;/D&gt;&lt;D xsi:type="xsd:double"&gt;85.58595&lt;/D&gt;&lt;D xsi:type="xsd:string"&gt;@NA&lt;/D&gt;&lt;D xsi:type="xsd:string"&gt;@NA&lt;/D&gt;&lt;/FQL&gt;&lt;FQL&gt;&lt;Q&gt;GSF-NO^FE_TIMESERIES(WKCAP,MEAN,2016,2026,CY,'BKRACTMED=1,WIN=0,CURRENCY=USD,UNITS=AUTO,CALC=CALA,DATE=NOW')&lt;/Q&gt;&lt;R&gt;11&lt;/R&gt;&lt;C&gt;1&lt;/C&gt;&lt;D xsi:type="xsd:string"&gt;@NA&lt;/D&gt;&lt;D xsi:type="xsd:double"&gt;405.94827&lt;/D&gt;&lt;D xsi:type="xsd:double"&gt;406.7877&lt;/D&gt;&lt;D xsi:type="xsd:double"&gt;335.99057&lt;/D&gt;&lt;D xsi:type="xsd:double"&gt;215.10463&lt;/D&gt;&lt;D xsi:type="xsd:double"&gt;249.53046&lt;/D&gt;&lt;D xsi:type="xsd:double"&gt;261.82175&lt;/D&gt;&lt;D xsi:type="xsd:double"&gt;283.1209&lt;/D&gt;&lt;D xsi:type="xsd:string"&gt;@NA&lt;/D&gt;&lt;D xsi:type="xsd:string"&gt;@NA&lt;/D&gt;&lt;D xsi:type="xsd:string"&gt;@NA&lt;/D&gt;&lt;/FQL&gt;&lt;FQL&gt;&lt;Q&gt;GSF-NO^FE_TIMESERIES(MINTEREST,MEAN,2016,2026,CY,'BKRACTMED=1,WIN=0,CURRENCY=USD,UNITS=AUTO,CALC=CALA,DATE=NOW')&lt;/Q&gt;&lt;R&gt;11&lt;/R&gt;&lt;C&gt;1&lt;/C&gt;&lt;D xsi:type="xsd:double"&gt;6.7430882&lt;/D&gt;&lt;D xsi:type="xsd:double"&gt;5.6381707&lt;/D&gt;&lt;D xsi:type="xsd:double"&gt;5.669918&lt;/D&gt;&lt;D xsi:type="xsd:double"&gt;6.157037&lt;/D&gt;&lt;D xsi:type="xsd:double"&gt;0&lt;/D&gt;&lt;D xsi:type="xsd:double"&gt;0.13784626&lt;/D&gt;&lt;D xsi:type="xsd:double"&gt;0.3216413&lt;/D&gt;&lt;D xsi:type="xsd:double"&gt;0.5054363&lt;/D&gt;&lt;D xsi:type="xsd:string"&gt;@NA&lt;/D&gt;&lt;D xsi:type="xsd:string"&gt;@NA&lt;/D&gt;&lt;D xsi:type="xsd:string"&gt;@NA&lt;/D&gt;&lt;/FQL&gt;&lt;FQL&gt;&lt;Q&gt;GSF-NO^FE_TIMESERIES(SHEQUITY,MEAN,2016,2026,CY,'BKRACTMED=1,WIN=0,CURRENCY=USD,UNITS=AUTO,CALC=CALA,DATE=NOW')&lt;/Q&gt;&lt;R&gt;11&lt;/R&gt;&lt;C&gt;1&lt;/C&gt;&lt;D xsi:type="xsd:double"&gt;385.80096&lt;/D&gt;&lt;D xsi:type="xsd:double"&gt;426.9633&lt;/D&gt;&lt;D xsi:type="xsd:double"&gt;443.64215&lt;/D&gt;&lt;D xsi:type="xsd:double"&gt;447.51935&lt;/D&gt;&lt;D xsi:type="xsd:double"&gt;521.38336&lt;/D&gt;&lt;D xsi:type="xsd:double"&gt;564.0538&lt;/D&gt;&lt;D xsi:type="xsd:double"&gt;652.9154&lt;/D&gt;&lt;D xsi:type="xsd:double"&gt;733.01666&lt;/D&gt;&lt;D xsi:type="xsd:string"&gt;@NA&lt;/D&gt;&lt;D xsi:type="xsd:string"&gt;@NA&lt;/D&gt;&lt;D xsi:type="xsd:string"&gt;@NA&lt;/D&gt;&lt;/FQL&gt;&lt;FQL&gt;&lt;Q&gt;GSF-NO^FE_TIMESERIES(CAPEX,MEAN,2016,2026,CY,'BKRACTMED=1,WIN=0,CURRENCY=USD,UNITS=AUTO,CALC=CALA,DATE=NOW')&lt;/Q&gt;&lt;R&gt;11&lt;/R&gt;&lt;C&gt;1&lt;/C&gt;&lt;D xsi:type="xsd:double"&gt;30.223484&lt;/D&gt;&lt;D xsi:type="xsd:double"&gt;69.19573&lt;/D&gt;&lt;D xsi:type="xsd:double"&gt;84.35449&lt;/D&gt;&lt;D xsi:type="xsd:double"&gt;57.35766&lt;/D&gt;&lt;D xsi:type="xsd:double"&gt;148.94133&lt;/D&gt;&lt;D xsi:type="xsd:double"&gt;93.237686&lt;/D&gt;&lt;D xsi:type="xsd:double"&gt;70.83766&lt;/D&gt;&lt;D xsi:type="xsd:double"&gt;84.79843&lt;/D&gt;&lt;D xsi:type="xsd:string"&gt;@NA&lt;/D&gt;&lt;D xsi:type="xsd:string"&gt;@NA&lt;/D&gt;&lt;D xsi:type="xsd:string"&gt;@NA&lt;/D&gt;&lt;/FQL&gt;&lt;FQL&gt;&lt;Q&gt;GSF-NO^FE_TIMESERIES(FCF,MEAN,2016,2026,CY,'BKRACTMED=1,WIN=0,CURRENCY=USD,UNITS=AUTO,CALC=CALA,DATE=NOW')&lt;/Q&gt;&lt;R&gt;11&lt;/R&gt;&lt;C&gt;1&lt;/C&gt;&lt;D xsi:type="xsd:double"&gt;81.03747&lt;/D&gt;&lt;D xsi:type="xsd:double"&gt;15.248689&lt;/D&gt;&lt;D xsi:type="xsd:double"&gt;2.8407445&lt;/D&gt;&lt;D xsi:type="xsd:double"&gt;77.124985&lt;/D&gt;&lt;D xsi:type="xsd:double"&gt;-150.41951&lt;/D&gt;&lt;D xsi:type="xsd:double"&gt;55.61331&lt;/D&gt;&lt;D xsi:type="xsd:double"&gt;41.719555&lt;/D&gt;&lt;D xsi:type="xsd:double"&gt;49.509785&lt;/D&gt;&lt;D xsi:type="xsd:string"&gt;@NA&lt;/D&gt;&lt;D xsi:type="xsd:string"&gt;@NA&lt;/D&gt;&lt;D xsi:type="xsd:string"&gt;@NA&lt;/D&gt;&lt;/FQL&gt;&lt;FQL&gt;&lt;Q&gt;GSF-NO^FE_TIMESERIES(CFO,MEAN,2016,2026,CY,'BKRACTMED=1,WIN=0,CURRENCY=USD,UNITS=AUTO,CALC=CALA,DATE=NOW')&lt;/Q&gt;&lt;R&gt;11&lt;/R&gt;&lt;C&gt;1&lt;/C&gt;&lt;D xsi:type="xsd:double"&gt;110.41807&lt;/D&gt;&lt;D xsi:type="xsd:double"&gt;87.77606&lt;/D&gt;&lt;D xsi:type="xsd:double"&gt;88.86729&lt;/D&gt;&lt;D xsi:type="xsd:double"&gt;144.74437&lt;/D&gt;&lt;D xsi:type="xsd:double"&gt;48.60253&lt;/D&gt;&lt;D xsi:type="xsd:double"&gt;39.958187&lt;/D&gt;&lt;D xsi:type="xsd:double"&gt;117.99449&lt;/D&gt;&lt;D xsi:type="xsd:double"&gt;137.08812&lt;/D&gt;&lt;D xsi:type="xsd:string"&gt;@NA&lt;/D&gt;&lt;D xsi:type="xsd:string"&gt;@NA&lt;/D&gt;&lt;D xsi:type="xsd:string"&gt;@NA&lt;/D&gt;&lt;/FQL&gt;&lt;FQL&gt;&lt;Q&gt;GSF-NO^FE_TIMESERIES(CFI,MEAN,2016,2026,CY,'BKRACTMED=1,WIN=0,CURRENCY=USD,UNITS=AUTO,CALC=CALA,DATE=NOW')&lt;/Q&gt;&lt;R&gt;11&lt;/R&gt;&lt;C&gt;1&lt;/C&gt;&lt;D xsi:type="xsd:double"&gt;-24.082458&lt;/D&gt;&lt;D xsi:type="xsd:double"&gt;-70.60527&lt;/D&gt;&lt;D xsi:type="xsd:double"&gt;-87.825874&lt;/D&gt;&lt;D xsi:type="xsd:double"&gt;-39.2106&lt;/D&gt;&lt;D xsi:type="xsd:double"&gt;-199.02203&lt;/D&gt;&lt;D xsi:type="xsd:double"&gt;134.77344&lt;/D&gt;&lt;D xsi:type="xsd:double"&gt;-71.50775&lt;/D&gt;&lt;D xsi:type="xsd:double"&gt;-89.98298&lt;/D&gt;&lt;D xsi:type="xsd:string"&gt;@NA&lt;/D&gt;&lt;D xsi:type="xsd:string"&gt;@NA&lt;/D&gt;&lt;D xsi:type="xsd:string"&gt;@NA&lt;/D&gt;&lt;/FQL&gt;&lt;FQL&gt;&lt;Q&gt;GSF-NO^FE_TIMESERIES(CFF,MEAN,2016,2026,CY,'BKRACTMED=1,WIN=0,CURRENCY=USD,UNITS=AUTO,CALC=CALA,DATE=NOW')&lt;/Q&gt;&lt;R&gt;11&lt;/R&gt;&lt;C&gt;1&lt;/C&gt;&lt;D xsi:type="xsd:double"&gt;-76.88325&lt;/D&gt;&lt;D xsi:type="xsd:double"&gt;-48.11666&lt;/D&gt;&lt;D xsi:type="xsd:double"&gt;-20.481133&lt;/D&gt;&lt;D xsi:type="xsd:double"&gt;-97.32439&lt;/D&gt;&lt;D xsi:type="xsd:double"&gt;157.27826&lt;/D&gt;&lt;D xsi:type="xsd:double"&gt;-59.82528&lt;/D&gt;&lt;D xsi:type="xsd:double"&gt;-13.612319&lt;/D&gt;&lt;D xsi:type="xsd:double"&gt;27.30122&lt;/D&gt;&lt;D xsi:type="xsd:string"&gt;@NA&lt;/D&gt;&lt;D xsi:type="xsd:string"&gt;@NA&lt;/D&gt;&lt;D xsi:type="xsd:string"&gt;@NA&lt;/D&gt;&lt;/FQL&gt;&lt;FQL&gt;&lt;Q&gt;GSF-NO^FE_TIMESERIES(NETDIV,MEAN,2016,2026,CY,'BKRACTMED=1,WIN=0,CURRENCY=USD,UNITS=AUTO,CALC=CALA,DATE=NOW')&lt;/Q&gt;&lt;R&gt;11&lt;/R&gt;&lt;C&gt;1&lt;/C&gt;&lt;D xsi:type="xsd:double"&gt;0.48164916&lt;/D&gt;&lt;D xsi:type="xsd:double"&gt;0.38442072&lt;/D&gt;&lt;D xsi:type="xsd:double"&gt;0.46285045&lt;/D&gt;&lt;D xsi:type="xsd:double"&gt;0.43207276&lt;/D&gt;&lt;D xsi:type="xsd:double"&gt;0&lt;/D&gt;&lt;D xsi:type="xsd:double"&gt;0.071794935&lt;/D&gt;&lt;D xsi:type="xsd:double"&gt;0.16314508&lt;/D&gt;&lt;D xsi:type="xsd:double"&gt;0.26573536&lt;/D&gt;&lt;D xsi:type="xsd:double"&gt;1.033847&lt;/D&gt;&lt;D xsi:type="xsd:string"&gt;@NA&lt;/D&gt;&lt;D xsi:type="xsd:string"&gt;@NA&lt;/D&gt;&lt;/FQL&gt;&lt;FQL&gt;&lt;Q&gt;GSF-NO^FE_TIMESERIES(CFPS,MEAN,2016,2026,CY,'BKRACTMED=1,WIN=0,CURRENCY=USD,UNITS=AUTO,CALC=CALA,DATE=NOW')&lt;/Q&gt;&lt;R&gt;11&lt;/R&gt;&lt;C&gt;1&lt;/C&gt;&lt;D xsi:type="xsd:double"&gt;0.9632983&lt;/D&gt;&lt;D xsi:type="xsd:double"&gt;0.8578989&lt;/D&gt;&lt;D xsi:type="xsd:double"&gt;0.8071352&lt;/D&gt;&lt;D xsi:type="xsd:double"&gt;1.0369747&lt;/D&gt;&lt;D xsi:type="xsd:double"&gt;0.15373063&lt;/D&gt;&lt;D xsi:type="xsd:double"&gt;0.4539335&lt;/D&gt;&lt;D xsi:type="xsd:double"&gt;0.9476035&lt;/D&gt;&lt;D xsi:type="xsd:double"&gt;1.1539289&lt;/D&gt;&lt;D xsi:type="xsd:string"&gt;@NA&lt;/D&gt;&lt;D xsi:type="xsd:string"&gt;@NA&lt;/D&gt;&lt;D xsi:type="xsd:string"&gt;@NA&lt;/D&gt;&lt;/FQL&gt;&lt;FQL&gt;&lt;Q&gt;GSF-NO^FE_TIMESERIES(BVPS,MEAN,2016,2026,CY,'BKRACTMED=1,WIN=0,CURRENCY=USD,UNITS=AUTO,CALC=CALA,DATE=NOW')&lt;/Q&gt;&lt;R&gt;11&lt;/R&gt;&lt;C&gt;1&lt;/C&gt;&lt;D xsi:type="xsd:double"&gt;3.4317503&lt;/D&gt;&lt;D xsi:type="xsd:double"&gt;3.8185792&lt;/D&gt;&lt;D xsi:type="xsd:double"&gt;3.9696612&lt;/D&gt;&lt;D xsi:type="xsd:double"&gt;3.9534657&lt;/D&gt;&lt;D xsi:type="xsd:double"&gt;4.595363&lt;/D&gt;&lt;D xsi:type="xsd:double"&gt;4.9121275&lt;/D&gt;&lt;D xsi:type="xsd:double"&gt;5.781145&lt;/D&gt;&lt;D xsi:type="xsd:double"&gt;6.3552136&lt;/D&gt;&lt;D xsi:type="xsd:double"&gt;6.3885546&lt;/D&gt;&lt;D xsi:type="xsd:string"&gt;@NA&lt;/D&gt;&lt;D xsi:type="xsd:string"&gt;@NA&lt;/D&gt;&lt;/FQL&gt;&lt;FQL&gt;&lt;Q&gt;GSF-NO^PROPER(CONVERT_DATE(FE_TIMESERIES_PERIOD(,2016,2026,FY,'DISPLAY=YYYYMMDD'),"MMM 'YY"))&lt;/Q&gt;&lt;R&gt;11&lt;/R&gt;&lt;C&gt;1&lt;/C&gt;&lt;D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'25&lt;/D&gt;&lt;D xsi:type="xsd:string"&gt;Dec '26&lt;/D&gt;&lt;/FQL&gt;&lt;FQL&gt;&lt;Q&gt;GSF-NO^FE_TIMESERIES_VALUATION(ROA,MEAN,2016,2026,FY,'BKRACTMED=1,WIN=0,UNITS=AUTO,DATE=NOW')&lt;/Q&gt;&lt;R&gt;11&lt;/R&gt;&lt;C&gt;1&lt;/C&gt;&lt;D xsi:type="xsd:double"&gt;17.474867&lt;/D&gt;&lt;D xsi:type="xsd:double"&gt;7.758115&lt;/D&gt;&lt;D xsi:type="xsd:double"&gt;11.623344&lt;/D&gt;&lt;D xsi:type="xsd:double"&gt;6.9613876&lt;/D&gt;&lt;D xsi:type="xsd:double"&gt;-4.9455194&lt;/D&gt;&lt;D xsi:type="xsd:double"&gt;5.227511&lt;/D&gt;&lt;D xsi:type="xsd:double"&gt;6.899565&lt;/D&gt;&lt;D xsi:type="xsd:double"&gt;7.089495&lt;/D&gt;&lt;D xsi:type="xsd:string"&gt;@NA&lt;/D&gt;&lt;D xsi:type="xsd:string"&gt;@NA&lt;/D&gt;&lt;D xsi:type="xsd:string"&gt;@NA&lt;/D&gt;&lt;/FQL&gt;&lt;FQL&gt;&lt;Q&gt;GSF-NO^FE_TIMESERIES_VALUATION(ROE,MEAN,2016,2026,FY,'BKRACTMED=1,WIN=0,UNITS=AUTO,DATE=NOW')&lt;/Q&gt;&lt;R&gt;11&lt;/R&gt;&lt;C&gt;1&lt;/C&gt;&lt;D xsi:type="xsd:double"&gt;25.438597&lt;/D&gt;&lt;D xsi:type="xsd:double"&gt;18.971127&lt;/D&gt;&lt;D xsi:type="xsd:double"&gt;19.821484&lt;/D&gt;&lt;D xsi:type="xsd:double"&gt;19.624004&lt;/D&gt;&lt;D xsi:type="xsd:double"&gt;-2.702007&lt;/D&gt;&lt;D xsi:type="xsd:double"&gt;5.526018&lt;/D&gt;&lt;D xsi:type="xsd:double"&gt;14.641024&lt;/D&gt;&lt;D xsi:type="xsd:double"&gt;14.649965&lt;/D&gt;&lt;D xsi:type="xsd:double"&gt;22.103872&lt;/D&gt;&lt;D xsi:type="xsd:string"&gt;@NA&lt;/D&gt;&lt;D xsi:type="xsd:string"&gt;@NA&lt;/D&gt;&lt;/FQL&gt;&lt;FQL&gt;&lt;Q&gt;LSG-NO^PROPER(CONVERT_DATE(FE_TIMESERIES_PERIOD(,2016,2026,CY,''),"MMM 'YY"))&lt;/Q&gt;&lt;R&gt;11&lt;/R&gt;&lt;C&gt;1&lt;/C&gt;&lt;D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'25&lt;/D&gt;&lt;D xsi:type="xsd:string"&gt;Dec '26&lt;/D&gt;&lt;/FQL&gt;&lt;FQL&gt;&lt;Q&gt;LSG-NO^FE_TIMESERIES_PERIOD(,2016,2026,CY,'')&lt;/Q&gt;&lt;R&gt;11&lt;/R&gt;&lt;C&gt;1&lt;/C&gt;&lt;D xsi:type="xsd:string"&gt;2016&lt;/D&gt;&lt;D xsi:type="xsd:string"&gt;2017&lt;/D&gt;&lt;D xsi:type="xsd:string"&gt;2018&lt;/D&gt;&lt;D xsi:type="xsd:string"&gt;2019&lt;/D&gt;&lt;D xsi:type="xsd:string"&gt;2020&lt;/D&gt;&lt;D xsi:type="xsd:string"&gt;2021&lt;/D&gt;&lt;D xsi:type="xsd:string"&gt;2022&lt;/D&gt;&lt;D xsi:type="xsd:string"&gt;2023&lt;/D&gt;&lt;D xsi:type="xsd:string"&gt;2024&lt;/D&gt;&lt;D xsi:type="xsd:string"&gt;2025&lt;/D&gt;&lt;D xsi:type="xsd:string"&gt;2026&lt;/D&gt;&lt;/FQL&gt;&lt;FQL&gt;&lt;Q&gt;LSG-NO^FE_TIMESERIES(SALES,MEAN,2016,2026,CY,'BKRACTMED=1,WIN=0,CURRENCY=USD,UNITS=AUTO,CALC=CALA,DATE=NOW')&lt;/Q&gt;&lt;R&gt;11&lt;/R&gt;&lt;C&gt;1&lt;/C&gt;&lt;D xsi:type="xsd:double"&gt;2066.9556&lt;/D&gt;&lt;D xsi:type="xsd:double"&gt;2367.9746&lt;/D&gt;&lt;D xsi:type="xsd:double"&gt;2306.5698&lt;/D&gt;&lt;D xsi:type="xsd:double"&gt;2177.324&lt;/D&gt;&lt;D xsi:type="xsd:double"&gt;2363.5986&lt;/D&gt;&lt;D xsi:type="xsd:double"&gt;2589.9749&lt;/D&gt;&lt;D xsi:type="xsd:double"&gt;2799.9897&lt;/D&gt;&lt;D xsi:type="xsd:double"&gt;2806.9636&lt;/D&gt;&lt;D xsi:type="xsd:double"&gt;2842.9004&lt;/D&gt;&lt;D xsi:type="xsd:string"&gt;@NA&lt;/D&gt;&lt;D xsi:type="xsd:string"&gt;@NA&lt;/D&gt;&lt;/FQL&gt;&lt;FQL&gt;&lt;Q&gt;LSG-NO^FE_TIMESERIES(COS,MEAN,2016,2026,CY,'BKRACTMED=1,WIN=0,CURRENCY=USD,UNITS=AUTO,CALC=CALA,DATE=NOW')&lt;/Q&gt;&lt;R&gt;11&lt;/R&gt;&lt;C&gt;1&lt;/C&gt;&lt;D xsi:type="xsd:double"&gt;1359.0391&lt;/D&gt;&lt;D xsi:type="xsd:double"&gt;1524.8668&lt;/D&gt;&lt;D xsi:type="xsd:double"&gt;1732.0784&lt;/D&gt;&lt;D xsi:type="xsd:double"&gt;1778.9954&lt;/D&gt;&lt;D xsi:type="xsd:double"&gt;1995.9147&lt;/D&gt;&lt;D xsi:type="xsd:double"&gt;1844.115&lt;/D&gt;&lt;D xsi:type="xsd:double"&gt;1903.7719&lt;/D&gt;&lt;D xsi:type="xsd:double"&gt;1938.0037&lt;/D&gt;&lt;D xsi:type="xsd:string"&gt;@NA&lt;/D&gt;&lt;D xsi:type="xsd:string"&gt;@NA&lt;/D&gt;&lt;D xsi:type="xsd:string"&gt;@NA&lt;/D&gt;&lt;/FQL&gt;&lt;FQL&gt;&lt;Q&gt;LSG-NO^FE_TIMESERIES(GROSSINCOME,MEAN,2016,2026,CY,'BKRACTMED=1,WIN=0,CURRENCY=USD,UNITS=AUTO,CALC=CALA,DATE=NOW')&lt;/Q&gt;&lt;R&gt;11&lt;/R&gt;&lt;C&gt;1&lt;/C&gt;&lt;D xsi:type="xsd:double"&gt;619.943&lt;/D&gt;&lt;D xsi:type="xsd:double"&gt;1139.8674&lt;/D&gt;&lt;D xsi:type="xsd:double"&gt;491.59073&lt;/D&gt;&lt;D xsi:type="xsd:double"&gt;692.30524&lt;/D&gt;&lt;D xsi:type="xsd:double"&gt;708.2507&lt;/D&gt;&lt;D xsi:type="xsd:double"&gt;893.12897&lt;/D&gt;&lt;D xsi:type="xsd:double"&gt;1029.4819&lt;/D&gt;&lt;D xsi:type="xsd:double"&gt;1005.70337&lt;/D&gt;&lt;D xsi:type="xsd:string"&gt;@NA&lt;/D&gt;&lt;D xsi:type="xsd:string"&gt;@NA&lt;/D&gt;&lt;D xsi:type="xsd:string"&gt;@NA&lt;/D&gt;&lt;/FQL&gt;&lt;FQL&gt;&lt;Q&gt;LSG-NO^FE_TIMESERIES(SGA,MEAN,2016,2026,CY,'BKRACTMED=1,WIN=0,CURRENCY=USD,UNITS=AUTO,CALC=CALA,DATE=NOW')&lt;/Q&gt;&lt;R&gt;11&lt;/R&gt;&lt;C&gt;1&lt;/C&gt;&lt;D xsi:type="xsd:double"&gt;213.64963&lt;/D&gt;&lt;D xsi:type="xsd:double"&gt;309.9829&lt;/D&gt;&lt;D xsi:type="xsd:double"&gt;310.32538&lt;/D&gt;&lt;D xsi:type="xsd:double"&gt;312.6299&lt;/D&gt;&lt;D xsi:type="xsd:double"&gt;363.7763&lt;/D&gt;&lt;D xsi:type="xsd:string"&gt;@NA&lt;/D&gt;&lt;D xsi:type="xsd:string"&gt;@NA&lt;/D&gt;&lt;D xsi:type="xsd:string"&gt;@NA&lt;/D&gt;&lt;D xsi:type="xsd:string"&gt;@NA&lt;/D&gt;&lt;D xsi:type="xsd:string"&gt;@NA&lt;/D&gt;&lt;D xsi:type="xsd:string"&gt;@NA&lt;/D&gt;&lt;/FQL&gt;&lt;FQL&gt;&lt;Q&gt;LSG-NO^FE_TIMESERIES(S_M_EXP,MEAN,2016,2026,CY,'BKRACTMED=1,WIN=0,CURRENCY=USD,UNITS=AUTO,CALC=CALA,DATE=NOW')&lt;/Q&gt;&lt;R&gt;11&lt;/R&gt;&lt;C&gt;1&lt;/C&gt;&lt;D xsi:type="xsd:double"&gt;39.139175&lt;/D&gt;&lt;D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xsi:type="xsd:string"&gt;@NA&lt;/D&gt;&lt;/FQL&gt;&lt;FQL&gt;&lt;Q&gt;LSG-NO^FE_TIMESERIES(EBITDA,MEAN,2016,2026,CY,'BKRACTMED=1,WIN=0,CURRENCY=USD,UNITS=AUTO,CALC=CALA,DATE=NOW')&lt;/Q&gt;&lt;R&gt;11&lt;/R&gt;&lt;C&gt;1&lt;/C&gt;&lt;D xsi:type="xsd:double"&gt;401.56555&lt;/D&gt;&lt;D xsi:type="xsd:double"&gt;546.7295&lt;/D&gt;&lt;D xsi:type="xsd:double"&gt;491.59073&lt;/D&gt;&lt;D xsi:type="xsd:double"&gt;399.288&lt;/D&gt;&lt;D xsi:type="xsd:double"&gt;368.15775&lt;/D&gt;&lt;D xsi:type="xsd:double"&gt;485.95398&lt;/D&gt;&lt;D xsi:type="xsd:double"&gt;622.731&lt;/D&gt;&lt;D xsi:type="xsd:double"&gt;628.2573&lt;/D&gt;&lt;D xsi:type="xsd:double"&gt;735.2349&lt;/D&gt;&lt;D xsi:type="xsd:string"&gt;@NA&lt;/D&gt;&lt;D xsi:type="xsd:string"&gt;@NA&lt;/D&gt;&lt;/FQL&gt;&lt;FQL&gt;&lt;Q&gt;LSG-NO^FE_TIMESERIES(EBITDA_ADJ,MEAN,2016,2026,CY,'BKRACTMED=1,WIN=0,CURRENCY=USD,UNITS=AUTO,CALC=CALA,DATE=NOW')&lt;/Q&gt;&lt;R&gt;11&lt;/R&gt;&lt;C&gt;1&lt;/C&gt;&lt;D xsi:type="xsd:double"&gt;401.56555&lt;/D&gt;&lt;D xsi:type="xsd:double"&gt;546.68884&lt;/D&gt;&lt;D xsi:type="xsd:double"&gt;491.59073&lt;/D&gt;&lt;D xsi:type="xsd:double"&gt;399.288&lt;/D&gt;&lt;D xsi:type="xsd:double"&gt;368.15775&lt;/D&gt;&lt;D xsi:type="xsd:double"&gt;485.95398&lt;/D&gt;&lt;D xsi:type="xsd:double"&gt;622.731&lt;/D&gt;&lt;D xsi:type="xsd:double"&gt;628.2573&lt;/D&gt;&lt;D xsi:type="xsd:string"&gt;@NA&lt;/D&gt;&lt;D xsi:type="xsd:string"&gt;@NA&lt;/D&gt;&lt;D xsi:type="xsd:string"&gt;@NA&lt;/D&gt;&lt;/FQL&gt;&lt;FQL&gt;&lt;Q&gt;LSG-NO^FE_TIMESERIES(EBITDA_REP,MEAN,2016,2026,CY,'BKRACTMED=1,WIN=0,CURRENCY=USD,UNITS=AUTO,CALC=CALA,DATE=NOW')&lt;/Q&gt;&lt;R&gt;11&lt;/R&gt;&lt;C&gt;1&lt;/C&gt;&lt;D xsi:type="xsd:double"&gt;401.56555&lt;/D&gt;&lt;D xsi:type="xsd:double"&gt;546.6818&lt;/D&gt;&lt;D xsi:type="xsd:double"&gt;491.59073&lt;/D&gt;&lt;D xsi:type="xsd:double"&gt;399.288&lt;/D&gt;&lt;D xsi:type="xsd:double"&gt;368.1456&lt;/D&gt;&lt;D xsi:type="xsd:double"&gt;476.27408&lt;/D&gt;&lt;D xsi:type="xsd:double"&gt;614.7683&lt;/D&gt;&lt;D xsi:type="xsd:double"&gt;604.57074&lt;/D&gt;&lt;D xsi:type="xsd:string"&gt;@NA&lt;/D&gt;&lt;D xsi:type="xsd:string"&gt;@NA&lt;/D&gt;&lt;D xsi:type="xsd:string"&gt;@NA&lt;/D&gt;&lt;/FQL&gt;&lt;FQL&gt;&lt;Q&gt;LSG-NO^FE_TIMESERIES(DEPR_AMORT,MEAN,2016,2026,CY,'BKRACTMED=1,WIN=0,CURRENCY=USD,UNITS=AUTO,CALC=CALA,DATE=NOW')&lt;/Q&gt;&lt;R&gt;11&lt;/R&gt;&lt;C&gt;1&lt;/C&gt;&lt;D xsi:type="xsd:double"&gt;61.282135&lt;/D&gt;&lt;D xsi:type="xsd:double"&gt;74.12635&lt;/D&gt;&lt;D xsi:type="xsd:double"&gt;76.73839&lt;/D&gt;&lt;D xsi:type="xsd:double"&gt;107.86958&lt;/D&gt;&lt;D xsi:type="xsd:double"&gt;137.24504&lt;/D&gt;&lt;D xsi:type="xsd:double"&gt;143.32182&lt;/D&gt;&lt;D xsi:type="xsd:double"&gt;147.7444&lt;/D&gt;&lt;D xsi:type="xsd:double"&gt;150.25243&lt;/D&gt;&lt;D xsi:type="xsd:string"&gt;@NA&lt;/D&gt;&lt;D xsi:type="xsd:string"&gt;@NA&lt;/D&gt;&lt;D xsi:type="xsd:string"&gt;@NA&lt;/D&gt;&lt;/FQL&gt;&lt;FQL&gt;&lt;Q&gt;LSG-NO^FE_TIMESERIES(EBIT,MEAN,2016,2026,CY,'BKRACTMED=1,WIN=0,CURRENCY=USD,UNITS=AUTO,CALC=CALA,DATE=NOW')&lt;/Q&gt;&lt;R&gt;11&lt;/R&gt;&lt;C&gt;1&lt;/C&gt;&lt;D xsi:type="xsd:double"&gt;340.28342&lt;/D&gt;&lt;D xsi:type="xsd:double"&gt;472.52814&lt;/D&gt;&lt;D xsi:type="xsd:double"&gt;414.96863&lt;/D&gt;&lt;D xsi:type="xsd:double"&gt;291.41843&lt;/D&gt;&lt;D xsi:type="xsd:double"&gt;230.9127&lt;/D&gt;&lt;D xsi:type="xsd:double"&gt;343.7389&lt;/D&gt;&lt;D xsi:type="xsd:double"&gt;477.04065&lt;/D&gt;&lt;D xsi:type="xsd:double"&gt;477.98193&lt;/D&gt;&lt;D xsi:type="xsd:string"&gt;@NA&lt;/D&gt;&lt;D xsi:type="xsd:string"&gt;@NA&lt;/D&gt;&lt;D xsi:type="xsd:string"&gt;@NA&lt;/D&gt;&lt;/FQL&gt;&lt;FQL&gt;&lt;Q&gt;LSG-NO^FE_TIMESERIES(EBITA,MEAN,2016,2026,CY,'BKRACTMED=1,WIN=0,CURRENCY=USD,UNITS=AUTO,CALC=CALA,DATE=NOW')&lt;/Q&gt;&lt;R&gt;11&lt;/R&gt;&lt;C&gt;1&lt;/C&gt;&lt;D xsi:type="xsd:double"&gt;340.33847&lt;/D&gt;&lt;D xsi:type="xsd:double"&gt;471.96744&lt;/D&gt;&lt;D xsi:type="xsd:double"&gt;414.96863&lt;/D&gt;&lt;D xsi:type="xsd:double"&gt;291.41843&lt;/D&gt;&lt;D xsi:type="xsd:double"&gt;230.9127&lt;/D&gt;&lt;D xsi:type="xsd:double"&gt;333.85602&lt;/D&gt;&lt;D xsi:type="xsd:double"&gt;442.40994&lt;/D&gt;&lt;D xsi:type="xsd:double"&gt;419.32068&lt;/D&gt;&lt;D xsi:type="xsd:string"&gt;@NA&lt;/D&gt;&lt;D xsi:type="xsd:string"&gt;@NA&lt;/D&gt;&lt;D xsi:type="xsd:string"&gt;@NA&lt;/D&gt;&lt;/FQL&gt;&lt;FQL&gt;&lt;Q&gt;LSG-NO^FE_TIMESERIES(EBIT_ADJ,MEAN,2016,2026,CY,'BKRACTMED=1,WIN=0,CURRENCY=USD,UNITS=AUTO,CALC=CALA,DATE=NOW')&lt;/Q&gt;&lt;R&gt;11&lt;/R&gt;&lt;C&gt;1&lt;/C&gt;&lt;D xsi:type="xsd:double"&gt;340.28342&lt;/D&gt;&lt;D xsi:type="xsd:double"&gt;472.52814&lt;/D&gt;&lt;D xsi:type="xsd:double"&gt;414.96863&lt;/D&gt;&lt;D xsi:type="xsd:double"&gt;291.41843&lt;/D&gt;&lt;D xsi:type="xsd:double"&gt;230.9127&lt;/D&gt;&lt;D xsi:type="xsd:double"&gt;343.7389&lt;/D&gt;&lt;D xsi:type="xsd:double"&gt;477.04065&lt;/D&gt;&lt;D xsi:type="xsd:double"&gt;477.98193&lt;/D&gt;&lt;D xsi:type="xsd:string"&gt;@NA&lt;/D&gt;&lt;D xsi:type="xsd:string"&gt;@NA&lt;/D&gt;&lt;D xsi:type="xsd:string"&gt;@NA&lt;/D&gt;&lt;/FQL&gt;&lt;FQL&gt;&lt;Q&gt;LSG-NO^FE_TIMESERIES(EBITR,MEAN,2016,2026,CY,'BKRACTMED=1,WIN=0,CURRENCY=USD,UNITS=AUTO,CALC=CALA,DATE=NOW')&lt;/Q&gt;&lt;R&gt;11&lt;/R&gt;&lt;C&gt;1&lt;/C&gt;&lt;D xsi:type="xsd:double"&gt;516.34985&lt;/D&gt;&lt;D xsi:type="xsd:string"&gt;@NA&lt;/D&gt;&lt;D xsi:type="xsd:double"&gt;502.66397&lt;/D&gt;&lt;D xsi:type="xsd:double"&gt;255.92378&lt;/D&gt;&lt;D xsi:type="xsd:double"&gt;132.98203&lt;/D&gt;&lt;D xsi:type="xsd:double"&gt;438.57336&lt;/D&gt;&lt;D xsi:type="xsd:double"&gt;489.58417&lt;/D&gt;&lt;D xsi:type="xsd:double"&gt;487.40143&lt;/D&gt;&lt;D xsi:type="xsd:string"&gt;@NA&lt;/D&gt;&lt;D xsi:type="xsd:string"&gt;@NA&lt;/D&gt;&lt;D xsi:type="xsd:string"&gt;@NA&lt;/D&gt;&lt;/FQL&gt;&lt;FQL&gt;&lt;Q&gt;LSG-NO^FE_TIMESERIES(INTEXP,MEAN,2016,2026,CY,'BKRACTMED=1,WIN=0,CURRENCY=USD,UNITS=AUTO,CALC=CALA,DATE=NOW')&lt;/Q&gt;&lt;R&gt;11&lt;/R&gt;&lt;C&gt;1&lt;/C&gt;&lt;D xsi:type="xsd:double"&gt;0.7779959&lt;/D&gt;&lt;D xsi:type="xsd:string"&gt;@NA&lt;/D&gt;&lt;D xsi:type="xsd:string"&gt;@NA&lt;/D&gt;&lt;D xsi:type="xsd:double"&gt;22.916956&lt;/D&gt;&lt;D xsi:type="xsd:double"&gt;28.53844&lt;/D&gt;&lt;D xsi:type="xsd:double"&gt;22.285147&lt;/D&gt;&lt;D xsi:type="xsd:double"&gt;21.481043&lt;/D&gt;&lt;D xsi:type="xsd:string"&gt;@NA&lt;/D&gt;&lt;D xsi:type="xsd:string"&gt;@NA&lt;/D&gt;&lt;D xsi:type="xsd:string"&gt;@NA&lt;/D&gt;&lt;D xsi:type="xsd:string"&gt;@NA&lt;/D&gt;&lt;/FQL&gt;&lt;FQL&gt;&lt;Q&gt;LSG-NO^FE_TIMESERIES(PTP,MEAN,2016,2026,CY,'BKRACTMED=1,WIN=0,CURRENCY=USD,UNITS=AUTO,CALC=CALA,DATE=NOW')&lt;/Q&gt;&lt;R&gt;11&lt;/R&gt;&lt;C&gt;1&lt;/C&gt;&lt;D xsi:type="xsd:double"&gt;532.0295&lt;/D&gt;&lt;D xsi:type="xsd:double"&gt;266.1174&lt;/D&gt;&lt;D xsi:type="xsd:double"&gt;517.2865&lt;/D&gt;&lt;D xsi:type="xsd:double"&gt;252.08652&lt;/D&gt;&lt;D xsi:type="xsd:double"&gt;116.87735&lt;/D&gt;&lt;D xsi:type="xsd:double"&gt;469.48923&lt;/D&gt;&lt;D xsi:type="xsd:double"&gt;492.24002&lt;/D&gt;&lt;D xsi:type="xsd:double"&gt;494.36267&lt;/D&gt;&lt;D xsi:type="xsd:double"&gt;588.3072&lt;/D&gt;&lt;D xsi:type="xsd:string"&gt;@NA&lt;/D&gt;&lt;D xsi:type="xsd:string"&gt;@NA&lt;/D&gt;&lt;/FQL&gt;&lt;FQL&gt;&lt;Q&gt;LSG-NO^FE_TIMESERIES(PTPA,MEAN,2016,2026,CY,'BKRACTMED=1,WIN=0,CURRENCY=USD,UNITS=AUTO,CALC=CALA,DATE=NOW')&lt;/Q&gt;&lt;R&gt;11&lt;/R&gt;&lt;C&gt;1&lt;/C&gt;&lt;D xsi:type="xsd:double"&gt;356.08273&lt;/D&gt;&lt;D xsi:type="xsd:double"&gt;484.39218&lt;/D&gt;&lt;D xsi:type="xsd:double"&gt;429.5024&lt;/D&gt;&lt;D xsi:type="xsd:double"&gt;287.68774&lt;/D&gt;&lt;D xsi:type="xsd:double"&gt;214.80801&lt;/D&gt;&lt;D xsi:type="xsd:double"&gt;444.76605&lt;/D&gt;&lt;D xsi:type="xsd:double"&gt;549.96265&lt;/D&gt;&lt;D xsi:type="xsd:double"&gt;532.3738&lt;/D&gt;&lt;D xsi:type="xsd:string"&gt;@NA&lt;/D&gt;&lt;D xsi:type="xsd:string"&gt;@NA&lt;/D&gt;&lt;D xsi:type="xsd:string"&gt;@NA&lt;/D&gt;&lt;/FQL&gt;&lt;FQL&gt;&lt;Q&gt;LSG-NO^FE_TIMESERIES(PTPBG,MEAN,2016,2026,CY,'BKRACTMED=1,WIN=0,CURRENCY=USD,UNITS=AUTO,CALC=CALA,DATE=NOW')&lt;/Q&gt;&lt;R&gt;11&lt;/R&gt;&lt;C&gt;1&lt;/C&gt;&lt;D xsi:type="xsd:double"&gt;532.0295&lt;/D&gt;&lt;D xsi:type="xsd:double"&gt;266.1174&lt;/D&gt;&lt;D xsi:type="xsd:double"&gt;517.2865&lt;/D&gt;&lt;D xsi:type="xsd:double"&gt;252.08652&lt;/D&gt;&lt;D xsi:type="xsd:double"&gt;116.87735&lt;/D&gt;&lt;D xsi:type="xsd:double"&gt;469.48923&lt;/D&gt;&lt;D xsi:type="xsd:double"&gt;492.24002&lt;/D&gt;&lt;D xsi:type="xsd:double"&gt;494.36267&lt;/D&gt;&lt;D xsi:type="xsd:double"&gt;588.3072&lt;/D&gt;&lt;D xsi:type="xsd:string"&gt;@NA&lt;/D&gt;&lt;D xsi:type="xsd:string"&gt;@NA&lt;/D&gt;&lt;/FQL&gt;&lt;FQL&gt;&lt;Q&gt;LSG-NO^FE_TIMESERIES(TAX_EXPENSE,MEAN,2016,2026,CY,'BKRACTMED=1,WIN=0,CURRENCY=USD,UNITS=AUTO,CALC=CALA,DATE=NOW')&lt;/Q&gt;&lt;R&gt;11&lt;/R&gt;&lt;C&gt;1&lt;/C&gt;&lt;D xsi:type="xsd:double"&gt;110.95418&lt;/D&gt;&lt;D xsi:type="xsd:double"&gt;43.73836&lt;/D&gt;&lt;D xsi:type="xsd:double"&gt;98.94601&lt;/D&gt;&lt;D xsi:type="xsd:double"&gt;52.868885&lt;/D&gt;&lt;D xsi:type="xsd:double"&gt;23.328104&lt;/D&gt;&lt;D xsi:type="xsd:double"&gt;100.77711&lt;/D&gt;&lt;D xsi:type="xsd:double"&gt;106.83469&lt;/D&gt;&lt;D xsi:type="xsd:double"&gt;110.96625&lt;/D&gt;&lt;D xsi:type="xsd:string"&gt;@NA&lt;/D&gt;&lt;D xsi:type="xsd:string"&gt;@NA&lt;/D&gt;&lt;D xsi:type="xsd:string"&gt;@NA&lt;/D&gt;&lt;/FQL&gt;&lt;FQL&gt;&lt;Q&gt;LSG-NO^FE_TIMESERIES(NETPROFIT,MEAN,2016,2026,CY,'BKRACTMED=1,WIN=0,CURRENCY=USD,UNITS=AUTO,CALC=CALA,DATE=NOW')&lt;/Q&gt;&lt;R&gt;11&lt;/R&gt;&lt;C&gt;1&lt;/C&gt;&lt;D xsi:type="xsd:double"&gt;385.88596&lt;/D&gt;&lt;D xsi:type="xsd:double"&gt;222.37906&lt;/D&gt;&lt;D xsi:type="xsd:double"&gt;399.62094&lt;/D&gt;&lt;D xsi:type="xsd:double"&gt;197.93855&lt;/D&gt;&lt;D xsi:type="xsd:double"&gt;94.02292&lt;/D&gt;&lt;D xsi:type="xsd:double"&gt;347.10336&lt;/D&gt;&lt;D xsi:type="xsd:double"&gt;359.62308&lt;/D&gt;&lt;D xsi:type="xsd:double"&gt;363.63846&lt;/D&gt;&lt;D xsi:type="xsd:double"&gt;404.85422&lt;/D&gt;&lt;D xsi:type="xsd:string"&gt;@NA&lt;/D&gt;&lt;D xsi:type="xsd:string"&gt;@NA&lt;/D&gt;&lt;/FQL&gt;&lt;FQL&gt;&lt;Q&gt;LSG-NO^FE_TIMESERIES(NETBG,MEAN,2016,2026,CY,'BKRACTMED=1,WIN=0,CURRENCY=USD,UNITS=AUTO,CALC=CALA,DATE=NOW')&lt;/Q&gt;&lt;R&gt;11&lt;/R&gt;&lt;C&gt;1&lt;/C&gt;&lt;D xsi:type="xsd:double"&gt;253.86603&lt;/D&gt;&lt;D xsi:type="xsd:double"&gt;379.72272&lt;/D&gt;&lt;D xsi:type="xsd:double"&gt;331.8258&lt;/D&gt;&lt;D xsi:type="xsd:double"&gt;225.3323&lt;/D&gt;&lt;D xsi:type="xsd:double"&gt;169.92807&lt;/D&gt;&lt;D xsi:type="xsd:double"&gt;265.57425&lt;/D&gt;&lt;D xsi:type="xsd:double"&gt;360.9069&lt;/D&gt;&lt;D xsi:type="xsd:double"&gt;365.45364&lt;/D&gt;&lt;D xsi:type="xsd:double"&gt;404.85422&lt;/D&gt;&lt;D xsi:type="xsd:string"&gt;@NA&lt;/D&gt;&lt;D xsi:type="xsd:string"&gt;@NA&lt;/D&gt;&lt;/FQL&gt;&lt;FQL&gt;&lt;Q&gt;LSG-NO^FE_TIMESERIES(BFNG,MEAN,2016,2026,CY,'BKRACTMED=1,WIN=0,CURRENCY=USD,UNITS=AUTO,CALC=CALA,DATE=NOW')&lt;/Q&gt;&lt;R&gt;11&lt;/R&gt;&lt;C&gt;1&lt;/C&gt;&lt;D xsi:type="xsd:double"&gt;385.88596&lt;/D&gt;&lt;D xsi:type="xsd:double"&gt;222.37906&lt;/D&gt;&lt;D xsi:type="xsd:double"&gt;399.62094&lt;/D&gt;&lt;D xsi:type="xsd:double"&gt;197.93855&lt;/D&gt;&lt;D xsi:type="xsd:double"&gt;94.02594&lt;/D&gt;&lt;D xsi:type="xsd:double"&gt;349.42706&lt;/D&gt;&lt;D xsi:type="xsd:double"&gt;361.98996&lt;/D&gt;&lt;D xsi:type="xsd:double"&gt;363.63867&lt;/D&gt;&lt;D xsi:type="xsd:double"&gt;404.85422&lt;/D&gt;&lt;D xsi:type="xsd:string"&gt;@NA&lt;/D&gt;&lt;D xsi:type="xsd:string"&gt;@NA&lt;/D&gt;&lt;/FQL&gt;&lt;FQL&gt;&lt;Q&gt;LSG-NO^FE_TIMESERIES(CAPEX,MEAN,2016,2026,CY,'BKRACTMED=1,WIN=0,CURRENCY=USD,UNITS=AUTO,CALC=CALA,DATE=NOW')&lt;/Q&gt;&lt;R&gt;11&lt;/R&gt;&lt;C&gt;1&lt;/C&gt;&lt;D xsi:type="xsd:double"&gt;88.83486&lt;/D&gt;&lt;D xsi:type="xsd:double"&gt;183.98083&lt;/D&gt;&lt;D xsi:type="xsd:double"&gt;239.34238&lt;/D&gt;&lt;D xsi:type="xsd:double"&gt;125.88338&lt;/D&gt;&lt;D xsi:type="xsd:double"&gt;140.20546&lt;/D&gt;&lt;D xsi:type="xsd:double"&gt;168.95358&lt;/D&gt;&lt;D xsi:type="xsd:double"&gt;158.77592&lt;/D&gt;&lt;D xsi:type="xsd:double"&gt;147.06474&lt;/D&gt;&lt;D xsi:type="xsd:string"&gt;@NA&lt;/D&gt;&lt;D xsi:type="xsd:string"&gt;@NA&lt;/D&gt;&lt;D xsi:type="xsd:string"&gt;@NA&lt;/D&gt;&lt;/FQL&gt;&lt;FQL&gt;&lt;Q&gt;LSG-NO^FE_TIMESERIES(FCF,MEAN,2016,2026,CY,'BKRACTMED=1,WIN=0,CURRENCY=USD,UNITS=AUTO,CALC=CALA,DATE=NOW')&lt;/Q&gt;&lt;R&gt;11&lt;/R&gt;&lt;C&gt;1&lt;/C&gt;&lt;D xsi:type="xsd:double"&gt;-127.95039&lt;/D&gt;&lt;D xsi:type="xsd:double"&gt;262.65268&lt;/D&gt;&lt;D xsi:type="xsd:double"&gt;77.0872&lt;/D&gt;&lt;D xsi:type="xsd:double"&gt;178.85886&lt;/D&gt;&lt;D xsi:type="xsd:double"&gt;118.12073&lt;/D&gt;&lt;D xsi:type="xsd:double"&gt;116.3882&lt;/D&gt;&lt;D xsi:type="xsd:double"&gt;268.111&lt;/D&gt;&lt;D xsi:type="xsd:double"&gt;307.33975&lt;/D&gt;&lt;D xsi:type="xsd:string"&gt;@NA&lt;/D&gt;&lt;D xsi:type="xsd:string"&gt;@NA&lt;/D&gt;&lt;D xsi:type="xsd:string"&gt;@NA&lt;/D&gt;&lt;/FQL&gt;&lt;FQL&gt;&lt;Q&gt;LSG-NO^FE_TIMESERIES(CFO,MEAN,2016,2026,CY,'BKRACTMED=1,WIN=0,CURRENCY=USD,UNITS=AUTO,CALC=CALA,DATE=NOW')&lt;/Q&gt;&lt;R&gt;11&lt;/R&gt;&lt;C&gt;1&lt;/C&gt;&lt;D xsi:type="xsd:double"&gt;316.94354&lt;/D&gt;&lt;D xsi:type="xsd:double"&gt;445.0124&lt;/D&gt;&lt;D xsi:type="xsd:double"&gt;304.97696&lt;/D&gt;&lt;D xsi:type="xsd:double"&gt;304.74222&lt;/D&gt;&lt;D xsi:type="xsd:double"&gt;280.29248&lt;/D&gt;&lt;D xsi:type="xsd:double"&gt;297.4263&lt;/D&gt;&lt;D xsi:type="xsd:double"&gt;431.48178&lt;/D&gt;&lt;D xsi:type="xsd:double"&gt;469.625&lt;/D&gt;&lt;D xsi:type="xsd:string"&gt;@NA&lt;/D&gt;&lt;D xsi:type="xsd:string"&gt;@NA&lt;/D&gt;&lt;D xsi:type="xsd:string"&gt;@NA&lt;/D&gt;&lt;/FQL&gt;&lt;FQL&gt;&lt;Q&gt;LSG-NO^FE_TIMESERIES(CFI,MEAN,2016,2026,CY,'BKRACTMED=1,WIN=0,CURRENCY=USD,UNITS=AUTO,CALC=CALA,DATE=NOW')&lt;/Q&gt;&lt;R&gt;11&lt;/R&gt;&lt;C&gt;1&lt;/C&gt;&lt;D xsi:type="xsd:double"&gt;-446.33023&lt;/D&gt;&lt;D xsi:type="xsd:double"&gt;-181.81935&lt;/D&gt;&lt;D xsi:type="xsd:double"&gt;-227.77348&lt;/D&gt;&lt;D xsi:type="xsd:double"&gt;-93.373276&lt;/D&gt;&lt;D xsi:type="xsd:double"&gt;-160.3363&lt;/D&gt;&lt;D xsi:type="xsd:double"&gt;-174.83502&lt;/D&gt;&lt;D xsi:type="xsd:double"&gt;-176.1369&lt;/D&gt;&lt;D xsi:type="xsd:double"&gt;-145.37038&lt;/D&gt;&lt;D xsi:type="xsd:string"&gt;@NA&lt;/D&gt;&lt;D xsi:type="xsd:string"&gt;@NA&lt;/D&gt;&lt;D xsi:type="xsd:string"&gt;@NA&lt;/D&gt;&lt;/FQL&gt;&lt;FQL&gt;&lt;Q&gt;LSG-NO^FE_TIMESERIES(CFF,MEAN,2016,2026,CY,'BKRACTMED=1,WIN=0,CURRENCY=USD,UNITS=AUTO,CALC=CALA,DATE=NOW')&lt;/Q&gt;&lt;R&gt;11&lt;/R&gt;&lt;C&gt;1&lt;/C&gt;&lt;D xsi:type="xsd:double"&gt;233.03969&lt;/D&gt;&lt;D xsi:type="xsd:double"&gt;-124.476326&lt;/D&gt;&lt;D xsi:type="xsd:double"&gt;-151.26764&lt;/D&gt;&lt;D xsi:type="xsd:double"&gt;-211.9019&lt;/D&gt;&lt;D xsi:type="xsd:double"&gt;-127.53486&lt;/D&gt;&lt;D xsi:type="xsd:double"&gt;-198.84325&lt;/D&gt;&lt;D xsi:type="xsd:double"&gt;-165.95158&lt;/D&gt;&lt;D xsi:type="xsd:double"&gt;-194.65042&lt;/D&gt;&lt;D xsi:type="xsd:string"&gt;@NA&lt;/D&gt;&lt;D xsi:type="xsd:string"&gt;@NA&lt;/D&gt;&lt;D xsi:type="xsd:string"&gt;@NA&lt;/D&gt;&lt;/FQL&gt;&lt;FQL&gt;&lt;Q&gt;LSG-NO^FE_TIMESERIES(EPS,MEAN,2016,2026,CY,'BKRACTMED=1,WIN=0,CURRENCY=USD,UNITS=AUTO,CALC=CALA,DATE=NOW')&lt;/Q&gt;&lt;R&gt;11&lt;/R&gt;&lt;C&gt;1&lt;/C&gt;&lt;D xsi:type="xsd:double"&gt;0.4338823&lt;/D&gt;&lt;D xsi:type="xsd:double"&gt;0.6230174&lt;/D&gt;&lt;D xsi:type="xsd:double"&gt;0.55685717&lt;/D&gt;&lt;D xsi:type="xsd:double"&gt;0.3855449&lt;/D&gt;&lt;D xsi:type="xsd:double"&gt;0.29130524&lt;/D&gt;&lt;D xsi:type="xsd:double"&gt;0.4130906&lt;/D&gt;&lt;D xsi:type="xsd:double"&gt;0.6031584&lt;/D&gt;&lt;D xsi:type="xsd:double"&gt;0.6100509&lt;/D&gt;&lt;D xsi:type="xsd:double"&gt;0.6795436&lt;/D&gt;&lt;D xsi:type="xsd:string"&gt;@NA&lt;/D&gt;&lt;D xsi:type="xsd:string"&gt;@NA&lt;/D&gt;&lt;/FQL&gt;&lt;FQL&gt;&lt;Q&gt;LSG-NO^FE_TIMESERIES(NETDIV,MEAN,2016,2026,CY,'BKRACTMED=1,WIN=0,CURRENCY=USD,UNITS=AUTO,CALC=CALA,DATE=NOW')&lt;/Q&gt;&lt;R&gt;11&lt;/R&gt;&lt;C&gt;1&lt;/C&gt;&lt;D xsi:type="xsd:double"&gt;0.15559918&lt;/D&gt;&lt;D xsi:type="xsd:double"&gt;0.1907196&lt;/D&gt;&lt;D xsi:type="xsd:double"&gt;0.23254056&lt;/D&gt;&lt;D xsi:type="xsd:double"&gt;0.21318099&lt;/D&gt;&lt;D xsi:type="xsd:double"&gt;0.23683354&lt;/D&gt;&lt;D xsi:type="xsd:double"&gt;0.2672686&lt;/D&gt;&lt;D xsi:type="xsd:double"&gt;0.35973984&lt;/D&gt;&lt;D xsi:type="xsd:double"&gt;0.38392085&lt;/D&gt;&lt;D xsi:type="xsd:double"&gt;0.40205163&lt;/D&gt;&lt;D xsi:type="xsd:string"&gt;@NA&lt;/D&gt;&lt;D xsi:type="xsd:string"&gt;@NA&lt;/D&gt;&lt;/FQL&gt;&lt;FQL&gt;&lt;Q&gt;LSG-NO^FE_TIMESERIES(CFPS,MEAN,2016,2026,CY,'BKRACTMED=1,WIN=0,CURRENCY=USD,UNITS=AUTO,CALC=CALA,DATE=NOW')&lt;/Q&gt;&lt;R&gt;11&lt;/R&gt;&lt;C&gt;1&lt;/C&gt;&lt;D xsi:type="xsd:double"&gt;0.5260449&lt;/D&gt;&lt;D xsi:type="xsd:double"&gt;0.7412635&lt;/D&gt;&lt;D xsi:type="xsd:double"&gt;0.42802724&lt;/D&gt;&lt;D xsi:type="xsd:double"&gt;0.4565162&lt;/D&gt;&lt;D xsi:type="xsd:double"&gt;0.37893367&lt;/D&gt;&lt;D xsi:type="xsd:double"&gt;0.58532274&lt;/D&gt;&lt;D xsi:type="xsd:double"&gt;0.76201355&lt;/D&gt;&lt;D xsi:type="xsd:double"&gt;0.82878965&lt;/D&gt;&lt;D xsi:type="xsd:string"&gt;@NA&lt;/D&gt;&lt;D xsi:type="xsd:string"&gt;@NA&lt;/D&gt;&lt;D xsi:type="xsd:string"&gt;@NA&lt;/D&gt;&lt;/FQL&gt;&lt;FQL&gt;&lt;Q&gt;LSG-NO^FE_TIMESERIES(BVPS,MEAN,2016,2026,CY,'BKRACTMED=1,WIN=0,CURRENCY=USD,UNITS=AUTO,CALC=CALA,DATE=NOW')&lt;/Q&gt;&lt;R&gt;11&lt;/R&gt;&lt;C&gt;1&lt;/C&gt;&lt;D xsi:type="xsd:double"&gt;2.5192823&lt;/D&gt;&lt;D xsi:type="xsd:double"&gt;3.0515137&lt;/D&gt;&lt;D xsi:type="xsd:double"&gt;3.1509247&lt;/D&gt;&lt;D xsi:type="xsd:double"&gt;3.016511&lt;/D&gt;&lt;D xsi:type="xsd:double"&gt;3.3310637&lt;/D&gt;&lt;D xsi:type="xsd:double"&gt;3.591903&lt;/D&gt;&lt;D xsi:type="xsd:double"&gt;3.9369264&lt;/D&gt;&lt;D xsi:type="xsd:double"&gt;4.042071&lt;/D&gt;&lt;D xsi:type="xsd:double"&gt;4.241785&lt;/D&gt;&lt;D xsi:type="xsd:string"&gt;@NA&lt;/D&gt;&lt;D xsi:type="xsd:string"&gt;@NA&lt;/D&gt;&lt;/FQL&gt;&lt;FQL&gt;&lt;Q&gt;LSG-NO^PROPER(CONVERT_DATE(FE_TIMESERIES_PERIOD(,2016,2026,FY,'DISPLAY=YYYYMMDD'),"MMM 'YY"))&lt;/Q&gt;&lt;R&gt;11&lt;/R&gt;&lt;C&gt;1&lt;/C&gt;&lt;D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'25&lt;/D&gt;&lt;D xsi:type="xsd:string"&gt;Dec '26&lt;/D&gt;&lt;/FQL&gt;&lt;FQL&gt;&lt;Q&gt;LSG-NO^FE_TIMESERIES_VALUATION(ROA,MEAN,2016,2026,FY,'BKRACTMED=1,WIN=0,UNITS=AUTO,DATE=NOW')&lt;/Q&gt;&lt;R&gt;11&lt;/R&gt;&lt;C&gt;1&lt;/C&gt;&lt;D xsi:type="xsd:double"&gt;12.855377&lt;/D&gt;&lt;D xsi:type="xsd:double"&gt;6.8165874&lt;/D&gt;&lt;D xsi:type="xsd:double"&gt;12.113629&lt;/D&gt;&lt;D xsi:type="xsd:double"&gt;6.151247&lt;/D&gt;&lt;D xsi:type="xsd:double"&gt;2.6323643&lt;/D&gt;&lt;D xsi:type="xsd:double"&gt;9.270922&lt;/D&gt;&lt;D xsi:type="xsd:double"&gt;9.079246&lt;/D&gt;&lt;D xsi:type="xsd:double"&gt;8.79964&lt;/D&gt;&lt;D xsi:type="xsd:string"&gt;@NA&lt;/D&gt;&lt;D xsi:type="xsd:string"&gt;@NA&lt;/D&gt;&lt;D xsi:type="xsd:string"&gt;@NA&lt;/D&gt;&lt;/FQL&gt;&lt;FQL&gt;&lt;Q&gt;LSG-NO^FE_TIMESERIES_VALUATION(ROE,MEAN,2016,2026,FY,'BKRACTMED=1,WIN=0,UNITS=AUTO,DATE=NOW')&lt;/Q&gt;&lt;R&gt;11&lt;/R&gt;&lt;C&gt;1&lt;/C&gt;&lt;D xsi:type="xsd:double"&gt;17.222458&lt;/D&gt;&lt;D xsi:type="xsd:double"&gt;20.416666&lt;/D&gt;&lt;D xsi:type="xsd:double"&gt;17.67282&lt;/D&gt;&lt;D xsi:type="xsd:double"&gt;12.781154&lt;/D&gt;&lt;D xsi:type="xsd:double"&gt;8.745112&lt;/D&gt;&lt;D xsi:type="xsd:double"&gt;11.500606&lt;/D&gt;&lt;D xsi:type="xsd:double"&gt;15.320541&lt;/D&gt;&lt;D xsi:type="xsd:double"&gt;15.092534&lt;/D&gt;&lt;D xsi:type="xsd:double"&gt;16.020227&lt;/D&gt;&lt;D xsi:type="xsd:string"&gt;@NA&lt;/D&gt;&lt;D xsi:type="xsd:string"&gt;@NA&lt;/D&gt;&lt;/FQL&gt;&lt;FQL&gt;&lt;Q&gt;LSG-NO^FE_TIMESERIES_VALUATION(NETINC_ROA,MEAN,2016,2026,FY,'BKRACTMED=1,WIN=0,UNITS=AUTO,DATE=NOW')&lt;/Q&gt;&lt;R&gt;11&lt;/R&gt;&lt;C&gt;1&lt;/C&gt;&lt;D xsi:type="xsd:double"&gt;0.157027&lt;/D&gt;&lt;D xsi:type="xsd:double"&gt;0.06894377&lt;/D&gt;&lt;D xsi:type="xsd:double"&gt;0.12722327&lt;/D&gt;&lt;D xsi:type="xsd:double"&gt;0.06341997&lt;/D&gt;&lt;D xsi:type="xsd:double"&gt;0.026312301&lt;/D&gt;&lt;D xsi:type="xsd:double"&gt;0.096298814&lt;/D&gt;&lt;D xsi:type="xsd:double"&gt;0.09334875&lt;/D&gt;&lt;D xsi:type="xsd:double"&gt;0.08986094&lt;/D&gt;&lt;D xsi:type="xsd:string"&gt;@NA&lt;/D&gt;&lt;D xsi:type="xsd:string"&gt;@NA&lt;/D&gt;&lt;D xsi:type="xsd:string"&gt;@NA&lt;/D&gt;&lt;/FQL&gt;&lt;FQL&gt;&lt;Q&gt;LSG-NO^FE_TIMESERIES_VALUATION(NETINC_SHEQUITY,MEAN,2016,2026,FY,'BKRACTMED=1,WIN=0,UNITS=AUTO,DATE=NOW')&lt;/Q&gt;&lt;R&gt;11&lt;/R&gt;&lt;C&gt;1&lt;/C&gt;&lt;D xsi:type="xsd:double"&gt;0.2899411&lt;/D&gt;&lt;D xsi:type="xsd:double"&gt;0.12512071&lt;/D&gt;&lt;D xsi:type="xsd:double"&gt;0.22084786&lt;/D&gt;&lt;D xsi:type="xsd:double"&gt;0.11088388&lt;/D&gt;&lt;D xsi:type="xsd:double"&gt;0.046050344&lt;/D&gt;&lt;D xsi:type="xsd:double"&gt;0.16659412&lt;/D&gt;&lt;D xsi:type="xsd:double"&gt;0.16087727&lt;/D&gt;&lt;D xsi:type="xsd:double"&gt;0.15194905&lt;/D&gt;&lt;D xsi:type="xsd:string"&gt;@NA&lt;/D&gt;&lt;D xsi:type="xsd:string"&gt;@NA&lt;/D&gt;&lt;D xsi:type="xsd:string"&gt;@NA&lt;/D&gt;&lt;/FQL&gt;&lt;FQL&gt;&lt;Q&gt;USDRUB^JULIAN(P_PRICE_AVG(1/1/2016,12/31/2016).DATES)&lt;/Q&gt;&lt;R&gt;1&lt;/R&gt;&lt;C&gt;1&lt;/C&gt;&lt;D xsi:type="xsd:long"&gt;42734&lt;/D&gt;&lt;/FQL&gt;&lt;FQL&gt;&lt;Q&gt;XMICEX00^FG_COMPANY_NAME()&lt;/Q&gt;&lt;R&gt;1&lt;/R&gt;&lt;C&gt;1&lt;/C&gt;&lt;D xsi:type="xsd:string"&gt;IMOEX&lt;/D&gt;&lt;/FQL&gt;&lt;FQL&gt;&lt;Q&gt;USDRUB^FG_COMPANY_NAME()&lt;/Q&gt;&lt;R&gt;1&lt;/R&gt;&lt;C&gt;1&lt;/C&gt;&lt;D xsi:type="xsd:string"&gt;Russian Rouble per U.S. Dollar&lt;/D&gt;&lt;/FQL&gt;&lt;FQL&gt;&lt;Q&gt;MOWI-NO^FG_COMPANY_NAME()&lt;/Q&gt;&lt;R&gt;1&lt;/R&gt;&lt;C&gt;1&lt;/C&gt;&lt;D xsi:type="xsd:string"&gt;Mowi ASA&lt;/D&gt;&lt;/FQL&gt;&lt;FQL&gt;&lt;Q&gt;BAKKA-NO^FG_COMPANY_NAME()&lt;/Q&gt;&lt;R&gt;1&lt;/R&gt;&lt;C&gt;1&lt;/C&gt;&lt;D xsi:type="xsd:string"&gt;Bakkafrost P/F&lt;/D&gt;&lt;/FQL&gt;&lt;FQL&gt;&lt;Q&gt;AUSS-NO^FG_COMPANY_NAME()&lt;/Q&gt;&lt;R&gt;1&lt;/R&gt;&lt;C&gt;1&lt;/C&gt;&lt;D xsi:type="xsd:string"&gt;Austevoll Seafood ASA&lt;/D&gt;&lt;/FQL&gt;&lt;FQL&gt;&lt;Q&gt;ASA-NO^FG_COMPANY_NAME()&lt;/Q&gt;&lt;R&gt;1&lt;/R&gt;&lt;C&gt;1&lt;/C&gt;&lt;D xsi:type="xsd:string"&gt;Atlantic Sapphire ASA&lt;/D&gt;&lt;/FQL&gt;&lt;FQL&gt;&lt;Q&gt;ANDF-NO^FG_COMPANY_NAME()&lt;/Q&gt;&lt;R&gt;1&lt;/R&gt;&lt;C&gt;1&lt;/C&gt;&lt;D xsi:type="xsd:string"&gt;Andfjord Salmon AS&lt;/D&gt;&lt;/FQL&gt;&lt;FQL&gt;&lt;Q&gt;SALM-NO^FG_COMPANY_NAME()&lt;/Q&gt;&lt;R&gt;1&lt;/R&gt;&lt;C&gt;1&lt;/C&gt;&lt;D xsi:type="xsd:string"&gt;SalMar ASA&lt;/D&gt;&lt;/FQL&gt;&lt;FQL&gt;&lt;Q&gt;GSF-NO^FG_COMPANY_NAME()&lt;/Q&gt;&lt;R&gt;1&lt;/R&gt;&lt;C&gt;1&lt;/C&gt;&lt;D xsi:type="xsd:string"&gt;Grieg Seafood ASA&lt;/D&gt;&lt;/FQL&gt;&lt;FQL&gt;&lt;Q&gt;LSG-NO^FG_COMPANY_NAME()&lt;/Q&gt;&lt;R&gt;1&lt;/R&gt;&lt;C&gt;1&lt;/C&gt;&lt;D xsi:type="xsd:string"&gt;Leroy Seafood Group ASA&lt;/D&gt;&lt;/FQL&gt;&lt;FQL&gt;&lt;Q&gt;SALMOCAM-CL^FG_COMPANY_NAME()&lt;/Q&gt;&lt;R&gt;1&lt;/R&gt;&lt;C&gt;1&lt;/C&gt;&lt;D xsi:type="xsd:string"&gt;Salmones Camanchaca SA&lt;/D&gt;&lt;/FQL&gt;&lt;FQL&gt;&lt;Q&gt;USDNOK^FG_COMPANY_NAME()&lt;/Q&gt;&lt;R&gt;1&lt;/R&gt;&lt;C&gt;1&lt;/C&gt;&lt;D xsi:type="xsd:string"&gt;Norwegian Krone per U.S. Dollar&lt;/D&gt;&lt;/FQL&gt;&lt;FQL&gt;&lt;Q&gt;1333-JP^FG_COMPANY_NAME()&lt;/Q&gt;&lt;R&gt;1&lt;/R&gt;&lt;C&gt;1&lt;/C&gt;&lt;D xsi:type="xsd:string"&gt;Maruha Nichiro Corp.&lt;/D&gt;&lt;/FQL&gt;&lt;FQL&gt;&lt;Q&gt;1332-JP^FG_COMPANY_NAME()&lt;/Q&gt;&lt;R&gt;1&lt;/R&gt;&lt;C&gt;1&lt;/C&gt;&lt;D xsi:type="xsd:string"&gt;Nippon Suisan Kaisha, Ltd.&lt;/D&gt;&lt;/FQL&gt;&lt;FQL&gt;&lt;Q&gt;USDJPY^FG_COMPANY_NAME()&lt;/Q&gt;&lt;R&gt;1&lt;/R&gt;&lt;C&gt;1&lt;/C&gt;&lt;D xsi:type="xsd:string"&gt;Japanese Yen per U.S. Dollar&lt;/D&gt;&lt;/FQL&gt;&lt;FQL&gt;&lt;Q&gt;SALM-FDS^FG_COMPANY_NAME()&lt;/Q&gt;&lt;R&gt;1&lt;/R&gt;&lt;C&gt;1&lt;/C&gt;&lt;D xsi:type="xsd:string"&gt;Salmon Prices Average Price (NOK/Kg)&lt;/D&gt;&lt;/FQL&gt;&lt;FQL&gt;&lt;Q&gt;USDCLP^FG_COMPANY_NAME()&lt;/Q&gt;&lt;R&gt;1&lt;/R&gt;&lt;C&gt;1&lt;/C&gt;&lt;D xsi:type="xsd:string"&gt;Chilean Peso per U.S. Dollar&lt;/D&gt;&lt;/FQL&gt;&lt;FQL&gt;&lt;Q&gt;NOKRUB^FG_COMPANY_NAME()&lt;/Q&gt;&lt;R&gt;1&lt;/R&gt;&lt;C&gt;1&lt;/C&gt;&lt;D xsi:type="xsd:string"&gt;Russian Rouble per Norwegian Krone&lt;/D&gt;&lt;/FQL&gt;&lt;FQL&gt;&lt;Q&gt;USDRUB^FORMULA_DESCRIPTION("P_PRICE_AVG")&lt;/Q&gt;&lt;R&gt;1&lt;/R&gt;&lt;C&gt;1&lt;/C&gt;&lt;D xsi:type="xsd:string"&gt;Price - Average - for Dates Requested&lt;/D&gt;&lt;/FQL&gt;&lt;FQL&gt;&lt;Q&gt;USDRUB^P_PRICE_AVG(1/1/2016,12/31/2016)&lt;/Q&gt;&lt;R&gt;1&lt;/R&gt;&lt;C&gt;1&lt;/C&gt;&lt;D xsi:type="xsd:double"&gt;67.005104&lt;/D&gt;&lt;/FQL&gt;&lt;FQL&gt;&lt;Q&gt;AQUA-RU^FG_COMPANY_NAME()&lt;/Q&gt;&lt;R&gt;1&lt;/R&gt;&lt;C&gt;1&lt;/C&gt;&lt;D xsi:type="xsd:string"&gt;Russian Aquaculture PJSC&lt;/D&gt;&lt;/FQL&gt;&lt;FQL&gt;&lt;Q&gt;MOWI-NO^FORMULA_DESCRIPTION("FREF_SHARES_COMPANY")&lt;/Q&gt;&lt;R&gt;1&lt;/R&gt;&lt;C&gt;1&lt;/C&gt;&lt;D xsi:type="xsd:string"&gt;Shares - Company Level&lt;/D&gt;&lt;/FQL&gt;&lt;FQL&gt;&lt;Q&gt;BAKKA-NO^FORMULA_DESCRIPTION("FREF_SHARES_COMPANY")&lt;/Q&gt;&lt;R&gt;1&lt;/R&gt;&lt;C&gt;1&lt;/C&gt;&lt;D xsi:type="xsd:string"&gt;Shares - Com</t>
        </r>
      </text>
    </comment>
    <comment ref="A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pany Level&lt;/D&gt;&lt;/FQL&gt;&lt;FQL&gt;&lt;Q&gt;SALM-NO^FORMULA_DESCRIPTION("FREF_SHARES_COMPANY")&lt;/Q&gt;&lt;R&gt;1&lt;/R&gt;&lt;C&gt;1&lt;/C&gt;&lt;D xsi:type="xsd:string"&gt;Shares - Company Level&lt;/D&gt;&lt;/FQL&gt;&lt;FQL&gt;&lt;Q&gt;GSF-NO^FORMULA_DESCRIPTION("FREF_SHARES_COMPANY")&lt;/Q&gt;&lt;R&gt;1&lt;/R&gt;&lt;C&gt;1&lt;/C&gt;&lt;D xsi:type="xsd:string"&gt;Shares - Company Level&lt;/D&gt;&lt;/FQL&gt;&lt;FQL&gt;&lt;Q&gt;LSG-NO^FORMULA_DESCRIPTION("FREF_SHARES_COMPANY")&lt;/Q&gt;&lt;R&gt;1&lt;/R&gt;&lt;C&gt;1&lt;/C&gt;&lt;D xsi:type="xsd:string"&gt;Shares - Company Level&lt;/D&gt;&lt;/FQL&gt;&lt;FQL&gt;&lt;Q&gt;SALMOCAM-CL^FORMULA_DESCRIPTION("FREF_SHARES_COMPANY")&lt;/Q&gt;&lt;R&gt;1&lt;/R&gt;&lt;C&gt;1&lt;/C&gt;&lt;D xsi:type="xsd:string"&gt;Shares - Company Level&lt;/D&gt;&lt;/FQL&gt;&lt;FQL&gt;&lt;Q&gt;AQUA-RU^FORMULA_DESCRIPTION("FREF_SHARES_COMPANY")&lt;/Q&gt;&lt;R&gt;1&lt;/R&gt;&lt;C&gt;1&lt;/C&gt;&lt;D xsi:type="xsd:string"&gt;Shares - Company Level&lt;/D&gt;&lt;/FQL&gt;&lt;FQL&gt;&lt;Q&gt;SALM-FDS^FORMULA_DESCRIPTION("FG_PRICE")&lt;/Q&gt;&lt;R&gt;1&lt;/R&gt;&lt;C&gt;1&lt;/C&gt;&lt;D xsi:type="xsd:string"&gt;Price&lt;/D&gt;&lt;/FQL&gt;&lt;FQL&gt;&lt;Q&gt;USDNOK^FORMULA_DESCRIPTION("FG_PRICE")&lt;/Q&gt;&lt;R&gt;1&lt;/R&gt;&lt;C&gt;1&lt;/C&gt;&lt;D xsi:type="xsd:string"&gt;Price&lt;/D&gt;&lt;/FQL&gt;&lt;FQL&gt;&lt;Q&gt;USDEUR^FG_COMPANY_NAME()&lt;/Q&gt;&lt;R&gt;1&lt;/R&gt;&lt;C&gt;1&lt;/C&gt;&lt;D xsi:type="xsd:string"&gt;Euro per U.S. Dollar&lt;/D&gt;&lt;/FQL&gt;&lt;FQL&gt;&lt;Q&gt;USDEUR^FORMULA_DESCRIPTION("P_PRICE_AVG")&lt;/Q&gt;&lt;R&gt;1&lt;/R&gt;&lt;C&gt;1&lt;/C&gt;&lt;D xsi:type="xsd:string"&gt;Price - Average - for Dates Requested&lt;/D&gt;&lt;/FQL&gt;&lt;FQL&gt;&lt;Q&gt;USDDKK^FG_COMPANY_NAME()&lt;/Q&gt;&lt;R&gt;1&lt;/R&gt;&lt;C&gt;1&lt;/C&gt;&lt;D xsi:type="xsd:string"&gt;Danish Krone per U.S. Dollar&lt;/D&gt;&lt;/FQL&gt;&lt;FQL&gt;&lt;Q&gt;USDDKK^FORMULA_DESCRIPTION("P_PRICE_AVG")&lt;/Q&gt;&lt;R&gt;1&lt;/R&gt;&lt;C&gt;1&lt;/C&gt;&lt;D xsi:type="xsd:string"&gt;Price - Average - for Dates Requested&lt;/D&gt;&lt;/FQL&gt;&lt;FQL&gt;&lt;Q&gt;NOKUSD^FG_COMPANY_NAME()&lt;/Q&gt;&lt;R&gt;1&lt;/R&gt;&lt;C&gt;1&lt;/C&gt;&lt;D xsi:type="xsd:string"&gt;U.S. Dollar per Norwegian Krone&lt;/D&gt;&lt;/FQL&gt;&lt;FQL&gt;&lt;Q&gt;NOKUSD^FORMULA_DESCRIPTION("P_PRICE_AVG")&lt;/Q&gt;&lt;R&gt;1&lt;/R&gt;&lt;C&gt;1&lt;/C&gt;&lt;D xsi:type="xsd:string"&gt;Price - Average - for Dates Requested&lt;/D&gt;&lt;/FQL&gt;&lt;FQL&gt;&lt;Q&gt;SALM-FDS^FORMULA_DESCRIPTION("P_PRICE_AVG")&lt;/Q&gt;&lt;R&gt;1&lt;/R&gt;&lt;C&gt;1&lt;/C&gt;&lt;D xsi:type="xsd:string"&gt;Price - Average - for Dates Requested&lt;/D&gt;&lt;/FQL&gt;&lt;FQL&gt;&lt;Q&gt;USDRUB^JULIAN(P_PRICE_AVG(1/1/2015,12/31/2015).DATES)&lt;/Q&gt;&lt;R&gt;1&lt;/R&gt;&lt;C&gt;1&lt;/C&gt;&lt;D xsi:type="xsd:long"&gt;42369&lt;/D&gt;&lt;/FQL&gt;&lt;FQL&gt;&lt;Q&gt;USDRUB^P_PRICE_AVG(1/1/2015,12/31/2015)&lt;/Q&gt;&lt;R&gt;1&lt;/R&gt;&lt;C&gt;1&lt;/C&gt;&lt;D xsi:type="xsd:double"&gt;61.26734&lt;/D&gt;&lt;/FQL&gt;&lt;FQL&gt;&lt;Q&gt;USDRUB^JULIAN(P_PRICE_AVG(1/1/2017,12/31/2017).DATES)&lt;/Q&gt;&lt;R&gt;1&lt;/R&gt;&lt;C&gt;1&lt;/C&gt;&lt;D xsi:type="xsd:long"&gt;43098&lt;/D&gt;&lt;/FQL&gt;&lt;FQL&gt;&lt;Q&gt;USDRUB^P_PRICE_AVG(1/1/2017,12/31/2017)&lt;/Q&gt;&lt;R&gt;1&lt;/R&gt;&lt;C&gt;1&lt;/C&gt;&lt;D xsi:type="xsd:double"&gt;58.34285&lt;/D&gt;&lt;/FQL&gt;&lt;FQL&gt;&lt;Q&gt;USDRUB^JULIAN(P_PRICE_AVG(1/1/2018,12/31/2018).DATES)&lt;/Q&gt;&lt;R&gt;1&lt;/R&gt;&lt;C&gt;1&lt;/C&gt;&lt;D xsi:type="xsd:long"&gt;43465&lt;/D&gt;&lt;/FQL&gt;&lt;FQL&gt;&lt;Q&gt;USDRUB^P_PRICE_AVG(1/1/2018,12/31/2018)&lt;/Q&gt;&lt;R&gt;1&lt;/R&gt;&lt;C&gt;1&lt;/C&gt;&lt;D xsi:type="xsd:double"&gt;62.803402&lt;/D&gt;&lt;/FQL&gt;&lt;FQL&gt;&lt;Q&gt;USDRUB^JULIAN(P_PRICE_AVG(1/1/2019,12/31/2019).DATES)&lt;/Q&gt;&lt;R&gt;1&lt;/R&gt;&lt;C&gt;1&lt;/C&gt;&lt;D xsi:type="xsd:long"&gt;43830&lt;/D&gt;&lt;/FQL&gt;&lt;FQL&gt;&lt;Q&gt;USDRUB^P_PRICE_AVG(1/1/2019,12/31/2019)&lt;/Q&gt;&lt;R&gt;1&lt;/R&gt;&lt;C&gt;1&lt;/C&gt;&lt;D xsi:type="xsd:double"&gt;64.70925&lt;/D&gt;&lt;/FQL&gt;&lt;FQL&gt;&lt;Q&gt;USDRUB^JULIAN(P_PRICE_AVG(1/1/2020,12/31/2020).DATES)&lt;/Q&gt;&lt;R&gt;1&lt;/R&gt;&lt;C&gt;1&lt;/C&gt;&lt;D xsi:type="xsd:long"&gt;44196&lt;/D&gt;&lt;/FQL&gt;&lt;FQL&gt;&lt;Q&gt;USDRUB^P_PRICE_AVG(1/1/2020,12/31/2020)&lt;/Q&gt;&lt;R&gt;1&lt;/R&gt;&lt;C&gt;1&lt;/C&gt;&lt;D xsi:type="xsd:double"&gt;72.32566&lt;/D&gt;&lt;/FQL&gt;&lt;FQL&gt;&lt;Q&gt;AQUA-RU^FORMULA_DESCRIPTION("FG_PRICE")&lt;/Q&gt;&lt;R&gt;1&lt;/R&gt;&lt;C&gt;1&lt;/C&gt;&lt;D xsi:type="xsd:string"&gt;Price&lt;/D&gt;&lt;/FQL&gt;&lt;FQL&gt;&lt;Q&gt;XMICEX00^FORMULA_DESCRIPTION("FG_PRICE")&lt;/Q&gt;&lt;R&gt;1&lt;/R&gt;&lt;C&gt;1&lt;/C&gt;&lt;D xsi:type="xsd:string"&gt;Price&lt;/D&gt;&lt;/FQL&gt;&lt;FQL&gt;&lt;Q&gt;USDRUB^FORMULA_DESCRIPTION("FG_PRICE")&lt;/Q&gt;&lt;R&gt;1&lt;/R&gt;&lt;C&gt;1&lt;/C&gt;&lt;D xsi:type="xsd:string"&gt;Price&lt;/D&gt;&lt;/FQL&gt;&lt;FQL&gt;&lt;Q&gt;MOWI-NO^FORMULA_DESCRIPTION("FG_PRICE")&lt;/Q&gt;&lt;R&gt;1&lt;/R&gt;&lt;C&gt;1&lt;/C&gt;&lt;D xsi:type="xsd:string"&gt;Price&lt;/D&gt;&lt;/FQL&gt;&lt;FQL&gt;&lt;Q&gt;BAKKA-NO^FORMULA_DESCRIPTION("FG_PRICE")&lt;/Q&gt;&lt;R&gt;1&lt;/R&gt;&lt;C&gt;1&lt;/C&gt;&lt;D xsi:type="xsd:string"&gt;Price&lt;/D&gt;&lt;/FQL&gt;&lt;FQL&gt;&lt;Q&gt;AUSS-NO^FORMULA_DESCRIPTION("FG_PRICE")&lt;/Q&gt;&lt;R&gt;1&lt;/R&gt;&lt;C&gt;1&lt;/C&gt;&lt;D xsi:type="xsd:string"&gt;Price&lt;/D&gt;&lt;/FQL&gt;&lt;FQL&gt;&lt;Q&gt;ASA-NO^FORMULA_DESCRIPTION("FG_PRICE")&lt;/Q&gt;&lt;R&gt;1&lt;/R&gt;&lt;C&gt;1&lt;/C&gt;&lt;D xsi:type="xsd:string"&gt;Price&lt;/D&gt;&lt;/FQL&gt;&lt;FQL&gt;&lt;Q&gt;ANDF-NO^FORMULA_DESCRIPTION("FG_PRICE")&lt;/Q&gt;&lt;R&gt;1&lt;/R&gt;&lt;C&gt;1&lt;/C&gt;&lt;D xsi:type="xsd:string"&gt;Price&lt;/D&gt;&lt;/FQL&gt;&lt;FQL&gt;&lt;Q&gt;SALM-NO^FORMULA_DESCRIPTION("FG_PRICE")&lt;/Q&gt;&lt;R&gt;1&lt;/R&gt;&lt;C&gt;1&lt;/C&gt;&lt;D xsi:type="xsd:string"&gt;Price&lt;/D&gt;&lt;/FQL&gt;&lt;FQL&gt;&lt;Q&gt;GSF-NO^FORMULA_DESCRIPTION("FG_PRICE")&lt;/Q&gt;&lt;R&gt;1&lt;/R&gt;&lt;C&gt;1&lt;/C&gt;&lt;D xsi:type="xsd:string"&gt;Price&lt;/D&gt;&lt;/FQL&gt;&lt;FQL&gt;&lt;Q&gt;LSG-NO^FORMULA_DESCRIPTION("FG_PRICE")&lt;/Q&gt;&lt;R&gt;1&lt;/R&gt;&lt;C&gt;1&lt;/C&gt;&lt;D xsi:type="xsd:string"&gt;Price&lt;/D&gt;&lt;/FQL&gt;&lt;FQL&gt;&lt;Q&gt;SALMOCAM-CL^FORMULA_DESCRIPTION("FG_PRICE")&lt;/Q&gt;&lt;R&gt;1&lt;/R&gt;&lt;C&gt;1&lt;/C&gt;&lt;D xsi:type="xsd:string"&gt;Price&lt;/D&gt;&lt;/FQL&gt;&lt;FQL&gt;&lt;Q&gt;1333-JP^FORMULA_DESCRIPTION("FG_PRICE")&lt;/Q&gt;&lt;R&gt;1&lt;/R&gt;&lt;C&gt;1&lt;/C&gt;&lt;D xsi:type="xsd:string"&gt;Price&lt;/D&gt;&lt;/FQL&gt;&lt;FQL&gt;&lt;Q&gt;1332-JP^FORMULA_DESCRIPTION("FG_PRICE")&lt;/Q&gt;&lt;R&gt;1&lt;/R&gt;&lt;C&gt;1&lt;/C&gt;&lt;D xsi:type="xsd:string"&gt;Price&lt;/D&gt;&lt;/FQL&gt;&lt;FQL&gt;&lt;Q&gt;USDJPY^FORMULA_DESCRIPTION("FG_PRICE")&lt;/Q&gt;&lt;R&gt;1&lt;/R&gt;&lt;C&gt;1&lt;/C&gt;&lt;D xsi:type="xsd:string"&gt;Price&lt;/D&gt;&lt;/FQL&gt;&lt;FQL&gt;&lt;Q&gt;USDCLP^FORMULA_DESCRIPTION("FG_PRICE")&lt;/Q&gt;&lt;R&gt;1&lt;/R&gt;&lt;C&gt;1&lt;/C&gt;&lt;D xsi:type="xsd:string"&gt;Price&lt;/D&gt;&lt;/FQL&gt;&lt;FQL&gt;&lt;Q&gt;NOKRUB^FORMULA_DESCRIPTION("FG_PRICE")&lt;/Q&gt;&lt;R&gt;1&lt;/R&gt;&lt;C&gt;1&lt;/C&gt;&lt;D xsi:type="xsd:string"&gt;Price&lt;/D&gt;&lt;/FQL&gt;&lt;FQL&gt;&lt;Q&gt;USDEUR^JULIAN(P_PRICE_AVG(12/31/2019,12/31/2020).DATES)&lt;/Q&gt;&lt;R&gt;1&lt;/R&gt;&lt;C&gt;1&lt;/C&gt;&lt;D xsi:type="xsd:long"&gt;44196&lt;/D&gt;&lt;/FQL&gt;&lt;FQL&gt;&lt;Q&gt;USDEUR^P_PRICE_AVG(12/31/2019,12/31/2020)&lt;/Q&gt;&lt;R&gt;1&lt;/R&gt;&lt;C&gt;1&lt;/C&gt;&lt;D xsi:type="xsd:double"&gt;0.87724274&lt;/D&gt;&lt;/FQL&gt;&lt;FQL&gt;&lt;Q&gt;USDDKK^P_PRICE_AVG(12/31/2019,12/31/2020)&lt;/Q&gt;&lt;R&gt;1&lt;/R&gt;&lt;C&gt;1&lt;/C&gt;&lt;D xsi:type="xsd:double"&gt;6.539605&lt;/D&gt;&lt;/FQL&gt;&lt;FQL&gt;&lt;Q&gt;NOKUSD^P_PRICE_AVG(12/31/2019,12/31/2020)&lt;/Q&gt;&lt;R&gt;1&lt;/R&gt;&lt;C&gt;1&lt;/C&gt;&lt;D xsi:type="xsd:double"&gt;0.10667799&lt;/D&gt;&lt;/FQL&gt;&lt;FQL&gt;&lt;Q&gt;USDRUB^P_PRICE_AVG(12/31/2019,12/31/2020)&lt;/Q&gt;&lt;R&gt;1&lt;/R&gt;&lt;C&gt;1&lt;/C&gt;&lt;D xsi:type="xsd:double"&gt;72.28682&lt;/D&gt;&lt;/FQL&gt;&lt;FQL&gt;&lt;Q&gt;SALM-FDS^P_PRICE_AVG(12/31/2019,12/31/2020)&lt;/Q&gt;&lt;R&gt;0&lt;/R&gt;&lt;C&gt;0&lt;/C&gt;&lt;/FQL&gt;&lt;FQL&gt;&lt;Q&gt;AQUA-RU^JULIAN(FG_PRICE(0,0,D).DATES)&lt;/Q&gt;&lt;R&gt;1&lt;/R&gt;&lt;C&gt;1&lt;/C&gt;&lt;D xsi:type="xsd:long"&gt;44439&lt;/D&gt;&lt;/FQL&gt;&lt;FQL&gt;&lt;Q&gt;AQUA-RU^FG_PRICE(0,0,D)&lt;/Q&gt;&lt;R&gt;1&lt;/R&gt;&lt;C&gt;1&lt;/C&gt;&lt;D xsi:type="xsd:double"&gt;471&lt;/D&gt;&lt;/FQL&gt;&lt;FQL&gt;&lt;Q&gt;XMICEX00^FG_PRICE(0,0,D)&lt;/Q&gt;&lt;R&gt;1&lt;/R&gt;&lt;C&gt;1&lt;/C&gt;&lt;D xsi:type="xsd:double"&gt;2565.1&lt;/D&gt;&lt;/FQL&gt;&lt;FQL&gt;&lt;Q&gt;USDRUB^FG_PRICE(0,0,D)&lt;/Q&gt;&lt;R&gt;1&lt;/R&gt;&lt;C&gt;1&lt;/C&gt;&lt;D xsi:type="xsd:double"&gt;73.245&lt;/D&gt;&lt;/FQL&gt;&lt;FQL&gt;&lt;Q&gt;MOWI-NO^FG_PRICE(0,0,D)&lt;/Q&gt;&lt;R&gt;1&lt;/R&gt;&lt;C&gt;1&lt;/C&gt;&lt;D xsi:type="xsd:double"&gt;232.9&lt;/D&gt;&lt;/FQL&gt;&lt;FQL&gt;&lt;Q&gt;BAKKA-NO^FG_PRICE(0,0,D)&lt;/Q&gt;&lt;R&gt;1&lt;/R&gt;&lt;C&gt;1&lt;/C&gt;&lt;D xsi:type="xsd:double"&gt;764.2&lt;/D&gt;&lt;/FQL&gt;&lt;FQL&gt;&lt;Q&gt;AUSS-NO^FG_PRICE(0,0,D)&lt;/Q&gt;&lt;R&gt;1&lt;/R&gt;&lt;C&gt;1&lt;/C&gt;&lt;D xsi:type="xsd:double"&gt;111.7&lt;/D&gt;&lt;/FQL&gt;&lt;FQL&gt;&lt;Q&gt;ASA-NO^FG_PRICE(0,0,D)&lt;/Q&gt;&lt;R&gt;1&lt;/R&gt;&lt;C&gt;1&lt;/C&gt;&lt;D xsi:type="xsd:double"&gt;47&lt;/D&gt;&lt;/FQL&gt;&lt;FQL&gt;&lt;Q&gt;ANDF-NO^FG_PRICE(0,0,D)&lt;/Q&gt;&lt;R&gt;1&lt;/R&gt;&lt;C&gt;1&lt;/C&gt;&lt;D xsi:type="xsd:double"&gt;40&lt;/D&gt;&lt;/FQL&gt;&lt;FQL&gt;&lt;Q&gt;SALM-NO^FG_PRICE(0,0,D)&lt;/Q&gt;&lt;R&gt;1&lt;/R&gt;&lt;C&gt;1&lt;/C&gt;&lt;D xsi:type="xsd:double"&gt;582.8&lt;/D&gt;&lt;/FQL&gt;&lt;FQL&gt;&lt;Q&gt;GSF-NO^FG_PRICE(0,0,D)&lt;/Q&gt;&lt;R&gt;1&lt;/R&gt;&lt;C&gt;1&lt;/C&gt;&lt;D xsi:type="xsd:double"&gt;86.55&lt;/D&gt;&lt;/FQL&gt;&lt;FQL&gt;&lt;Q&gt;LSG-NO^FG_PRICE(0,0,D)&lt;/Q&gt;&lt;R&gt;1&lt;/R&gt;&lt;C&gt;1&lt;/C&gt;&lt;D xsi:type="xsd:double"&gt;76.76&lt;/D&gt;&lt;/FQL&gt;&lt;FQL&gt;&lt;Q&gt;SALMOCAM-CL^FG_PRICE(0,0,D)&lt;/Q&gt;&lt;R&gt;1&lt;/R&gt;&lt;C&gt;1&lt;/C&gt;&lt;D xsi:type="xsd:double"&gt;3674.9&lt;/D&gt;&lt;/FQL&gt;&lt;FQL&gt;&lt;Q&gt;USDCLP^FG_PRICE(0,0,D)&lt;/Q&gt;&lt;R&gt;1&lt;/R&gt;&lt;C&gt;1&lt;/C&gt;&lt;D xsi:type="xsd:double"&gt;774.95&lt;/D&gt;&lt;/FQL&gt;&lt;FQL&gt;&lt;Q&gt;USDNOK^FG_PRICE(0,0,D)&lt;/Q&gt;&lt;R&gt;1&lt;/R&gt;&lt;C&gt;1&lt;/C&gt;&lt;D xsi:type="xsd:double"&gt;8.70535&lt;/D&gt;&lt;/FQL&gt;&lt;FQL&gt;&lt;Q&gt;1333-JP^FG_PRICE(0,0,D)&lt;/Q&gt;&lt;R&gt;1&lt;/R&gt;&lt;C&gt;1&lt;/C&gt;&lt;D xsi:type="xsd:double"&gt;2536&lt;/D&gt;&lt;/FQL&gt;&lt;FQL&gt;&lt;Q&gt;1332-JP^FG_PRICE(0,0,D)&lt;/Q&gt;&lt;R&gt;1&lt;/R&gt;&lt;C&gt;1&lt;/C&gt;&lt;D xsi:type="xsd:double"&gt;606&lt;/D&gt;&lt;/FQL&gt;&lt;FQL&gt;&lt;Q&gt;USDJPY^FG_PRICE(0,0,D)&lt;/Q&gt;&lt;R&gt;1&lt;/R&gt;&lt;C&gt;1&lt;/C&gt;&lt;D xsi:type="xsd:double"&gt;109.86&lt;/D&gt;&lt;/FQL&gt;&lt;FQL&gt;&lt;Q&gt;SALM-FDS^FG_PRICE(0,0,D)&lt;/Q&gt;&lt;R&gt;1&lt;/R&gt;&lt;C&gt;1&lt;/C&gt;&lt;D xsi:type="xsd:double"&gt;53.51&lt;/D&gt;&lt;/FQL&gt;&lt;FQL&gt;&lt;Q&gt;NOKRUB^FG_PRICE(0,0,D)&lt;/Q&gt;&lt;R&gt;1&lt;/R&gt;&lt;C&gt;1&lt;/C&gt;&lt;D xsi:type="xsd:double"&gt;8.413792&lt;/D&gt;&lt;/FQL&gt;&lt;FQL&gt;&lt;Q&gt;MOWI-NO^FORMULA_DESCRIPTION("P_PRICE_AVG")&lt;/Q&gt;&lt;R&gt;1&lt;/R&gt;&lt;C&gt;1&lt;/C&gt;&lt;D xsi:type="xsd:string"&gt;Price - Average - for Dates Requested&lt;/D&gt;&lt;/FQL&gt;&lt;FQL&gt;&lt;Q&gt;BAKKA-NO^FORMULA_DESCRIPTION("P_PRICE_AVG")&lt;/Q&gt;&lt;R&gt;1&lt;/R&gt;&lt;C&gt;1&lt;/C&gt;&lt;D xsi:type="xsd:string"&gt;Price - Average - for Dates Requested&lt;/D&gt;&lt;/FQL&gt;&lt;FQL&gt;&lt;Q&gt;SALM-NO^FORMULA_DESCRIPTION("P_PRICE_AVG")&lt;/Q&gt;&lt;R&gt;1&lt;/R&gt;&lt;C&gt;1&lt;/C&gt;&lt;D xsi:type="xsd:string"&gt;Price - Average - for Dates Requested&lt;/D&gt;&lt;/FQL&gt;&lt;FQL&gt;&lt;Q&gt;GSF-NO^FORMULA_DESCRIPTION("P_PRICE_AVG")&lt;/Q&gt;&lt;R&gt;1&lt;/R&gt;&lt;C&gt;1&lt;/C&gt;&lt;D xsi:type="xsd:string"&gt;Price - Average - for Dates Requested&lt;/D&gt;&lt;/FQL&gt;&lt;FQL&gt;&lt;Q&gt;LSG-NO^FORMULA_DESCRIPTION("P_PRICE_AVG")&lt;/Q&gt;&lt;R&gt;1&lt;/R&gt;&lt;C&gt;1&lt;/C&gt;&lt;D xsi:type="xsd:string"&gt;Price - Average - for Dates Requested&lt;/D&gt;&lt;/FQL&gt;&lt;FQL&gt;&lt;Q&gt;SALMOCAM-CL^FORMULA_DESCRIPTION("P_PRICE_AVG")&lt;/Q&gt;&lt;R&gt;1&lt;/R&gt;&lt;C&gt;1&lt;/C&gt;&lt;D xsi:type="xsd:string"&gt;Price - Average - for Dates Requested&lt;/D&gt;&lt;/FQL&gt;&lt;FQL&gt;&lt;Q&gt;AQUA-RU^FORMULA_DESCRIPTION("P_PRICE_AVG")&lt;/Q&gt;&lt;R&gt;1&lt;/R&gt;&lt;C&gt;1&lt;/C&gt;&lt;D xsi:type="xsd:string"&gt;Price - Average - for Dates Requested&lt;/D&gt;&lt;/FQL&gt;&lt;FQL&gt;&lt;Q&gt;MOWI-NO^JULIAN(P_PRICE_AVG(1/1/2016,12/31/2016,,USD).DATES)&lt;/Q&gt;&lt;R&gt;1&lt;/R&gt;&lt;C&gt;1&lt;/C&gt;&lt;D xsi:type="xsd:long"&gt;42734&lt;/D&gt;&lt;/FQL&gt;&lt;FQL&gt;&lt;Q&gt;MOWI-NO^P_PRICE_AVG(1/1/2016,12/31/2016,,USD)&lt;/Q&gt;&lt;R&gt;1&lt;/R&gt;&lt;C&gt;1&lt;/C&gt;&lt;D xsi:type="xsd:double"&gt;16.15215&lt;/D&gt;&lt;/FQL&gt;&lt;FQL&gt;&lt;Q&gt;BAKKA-NO^P_PRICE_AVG(1/1/2016,12/31/2016,,USD)&lt;/Q&gt;&lt;R&gt;1&lt;/R&gt;&lt;C&gt;1&lt;/C&gt;&lt;D xsi:type="xsd:double"&gt;37.60284&lt;/D&gt;&lt;/FQL&gt;&lt;FQL&gt;&lt;Q&gt;SALM-NO^P_PRICE_AVG(1/1/2016,12/31/2016,,USD)&lt;/Q&gt;&lt;R&gt;1&lt;/R&gt;&lt;C&gt;1&lt;/C&gt;&lt;D xsi:type="xsd:double"&gt;27.05272&lt;/D&gt;&lt;/FQL&gt;&lt;FQL&gt;&lt;Q&gt;GSF-NO^P_PRICE_AVG(1/1/2016,12/31/2016,,USD)&lt;/Q&gt;&lt;R&gt;1&lt;/R&gt;&lt;C&gt;1&lt;/C&gt;&lt;D xsi:type="xsd:double"&gt;6.2774353&lt;/D&gt;&lt;/FQL&gt;&lt;FQL&gt;&lt;Q&gt;LSG-NO^P_PRICE_AVG(1/1/2016,12/31/2016,,USD)&lt;/Q&gt;&lt;R&gt;1&lt;/R&gt;&lt;C&gt;1&lt;/C&gt;&lt;D xsi:type="xsd:double"&gt;4.7313366&lt;/D&gt;&lt;/FQL&gt;&lt;FQL&gt;&lt;Q&gt;SALMOCAM-CL^P_PRICE_AVG(1/1/2016,12/31/2016,,USD)&lt;/Q&gt;&lt;R&gt;0&lt;/R&gt;&lt;C&gt;0&lt;/C&gt;&lt;/FQL&gt;&lt;FQL&gt;&lt;Q&gt;AQUA-RU^P_PRICE_AVG(1/1/2016,12/31/2016,,USD)&lt;/Q&gt;&lt;R&gt;1&lt;/R&gt;&lt;C&gt;1&lt;/C&gt;&lt;D xsi:type="xsd:double"&gt;0.6065489&lt;/D&gt;&lt;/FQL&gt;&lt;FQL&gt;&lt;Q&gt;USDEUR^JULIAN(P_PRICE_AVG(12/31/2018,12/31/2019).DATES)&lt;/Q&gt;&lt;R&gt;1&lt;/R&gt;&lt;C&gt;1&lt;/C&gt;&lt;D xsi:type="xsd:long"&gt;43830&lt;/D&gt;&lt;/FQL&gt;&lt;FQL&gt;&lt;Q&gt;USDEUR^P_PRICE_AVG(12/31/2018,12/31/2019)&lt;/Q&gt;&lt;R&gt;1&lt;/R&gt;&lt;C&gt;1&lt;/C&gt;&lt;D xsi:type="xsd:double"&gt;0.8933299&lt;/D&gt;&lt;/FQL&gt;&lt;FQL&gt;&lt;Q&gt;USDDKK^P_PRICE_AVG(12/31/2018,12/31/2019)&lt;/Q&gt;&lt;R&gt;1&lt;/R&gt;&lt;C&gt;1&lt;/C&gt;&lt;D xsi:type="xsd:double"&gt;6.669739&lt;/D&gt;&lt;/FQL&gt;&lt;FQL&gt;&lt;Q&gt;NOKUSD^P_PRICE_AVG(12/31/2018,12/31/2019)&lt;/Q&gt;&lt;R&gt;1&lt;/R&gt;&lt;C&gt;1&lt;/C&gt;&lt;D xsi:type="xsd:double"&gt;0.11371306&lt;/D&gt;&lt;/FQL&gt;&lt;FQL&gt;&lt;Q&gt;USDRUB^P_PRICE_AVG(12/31/2018,12/31/2019)&lt;/Q&gt;&lt;R&gt;1&lt;/R&gt;&lt;C&gt;1&lt;/C&gt;&lt;D xsi:type="xsd:double"&gt;64.72705&lt;/D&gt;&lt;/FQL&gt;&lt;FQL&gt;&lt;Q&gt;SALM-FDS^P_PRICE_AVG(12/31/2018,12/31/2019)&lt;/Q&gt;&lt;R&gt;0&lt;/R&gt;&lt;C&gt;0&lt;/C&gt;&lt;/FQL&gt;&lt;FQL&gt;&lt;Q&gt;AQUA-RU^JULIAN(FG_PRICE(-2AY,0,D).DATES)&lt;/Q&gt;&lt;R&gt;504&lt;/R&gt;&lt;C&gt;1&lt;/C&gt;&lt;D xsi:type="xsd:long"&gt;43707&lt;/D&gt;&lt;D xsi:type="xsd:long"&gt;43710&lt;/D&gt;&lt;D xsi:type="xsd:long"&gt;43711&lt;/D&gt;&lt;D xsi:type="xsd:long"&gt;43712&lt;/D&gt;&lt;D xsi:type="xsd:long"&gt;43713&lt;/D&gt;&lt;D xsi:type="xsd:long"&gt;43714&lt;/D&gt;&lt;D xsi:type="xsd:long"&gt;43717&lt;/D&gt;&lt;D xsi:type="xsd:long"&gt;43718&lt;/D&gt;&lt;D xsi:type="xsd:long"&gt;43719&lt;/D&gt;&lt;D xsi:type="xsd:long"&gt;43720&lt;/D&gt;&lt;D xsi:type="xsd:long"&gt;43721&lt;/D&gt;&lt;D xsi:type="xsd:long"&gt;43724&lt;/D&gt;&lt;D xsi:type="xsd:long"&gt;43725&lt;/D&gt;&lt;D xsi:type="xsd:long"&gt;43726&lt;/D&gt;&lt;D xsi:type="xsd:long"&gt;43727&lt;/D&gt;&lt;D xsi:type="xsd:long"&gt;43728&lt;/D&gt;&lt;D xsi:type="xsd:long"&gt;43731&lt;/D&gt;&lt;D xsi:type="xsd:long"&gt;43732&lt;/D&gt;&lt;D xsi:type="xsd:long"&gt;43733&lt;/D&gt;&lt;D xsi:type="xsd:long"&gt;43734&lt;/D&gt;&lt;D xsi:type="xsd:long"&gt;43735&lt;/D&gt;&lt;D xsi:type="xsd:long"&gt;43738&lt;/D&gt;&lt;D xsi:type="xsd:long"&gt;43739&lt;/D&gt;&lt;D xsi:type="xsd:long"&gt;43740&lt;/D&gt;&lt;D xsi:type="xsd:long"&gt;43741&lt;/D&gt;&lt;D xsi:type="xsd:long"&gt;43742&lt;/D&gt;&lt;D xsi:type="xsd:long"&gt;43745&lt;/D&gt;&lt;D xsi:type="xsd:long"&gt;43746&lt;/D&gt;&lt;D xsi:type="xsd:long"&gt;43747&lt;/D&gt;&lt;D xsi:type="xsd:long"&gt;43748&lt;/D&gt;&lt;D xsi:type="xsd:long"&gt;43749&lt;/D&gt;&lt;D xsi:type="xsd:long"&gt;43752&lt;/D&gt;&lt;D xsi:type="xsd:long"&gt;43753&lt;/D&gt;&lt;D xsi:type="xsd:long"&gt;43754&lt;/D&gt;&lt;D xsi:type="xsd:long"&gt;43755&lt;/D&gt;&lt;D xsi:type="xsd:long"&gt;43756&lt;/D&gt;&lt;D xsi:type="xsd:long"&gt;43759&lt;/D&gt;&lt;D xsi:type="xsd:long"&gt;43760&lt;/D&gt;&lt;D xsi:type="xsd:long"&gt;43761&lt;/D&gt;&lt;D xsi:type="xsd:long"&gt;43762&lt;/D&gt;&lt;D xsi:type="xsd:long"&gt;43763&lt;/D&gt;&lt;D xsi:type="xsd:long"&gt;43766&lt;/D&gt;&lt;D xsi:type="xsd:long"&gt;43767&lt;/D&gt;&lt;D xsi:type="xsd:long"&gt;43768&lt;/D&gt;&lt;D xsi:type="xsd:long"&gt;43769&lt;/D&gt;&lt;D xsi:type="xsd:long"&gt;43770&lt;/D&gt;&lt;D xsi:type="xsd:long"&gt;43774&lt;/D&gt;&lt;D xsi:type="xsd:long"&gt;43775&lt;/D&gt;&lt;D xsi:type="xsd:long"&gt;43776&lt;/D&gt;&lt;D xsi:type="xsd:long"&gt;43777&lt;/D&gt;&lt;D xsi:type="xsd:long"&gt;43780&lt;/D&gt;&lt;D xsi:type="xsd:long"&gt;43781&lt;/D&gt;&lt;D xsi:type="xsd:long"&gt;43782&lt;/D&gt;&lt;D xsi:type="xsd:long"&gt;43783&lt;/D&gt;&lt;D xsi:type="xsd:long"&gt;43784&lt;/D&gt;&lt;D xsi:type="xsd:long"&gt;43787&lt;/D&gt;&lt;D xsi:type="xsd:long"&gt;43788&lt;/D&gt;&lt;D xsi:type="xsd:long"&gt;43789&lt;/D&gt;&lt;D xsi:type="xsd:long"&gt;43790&lt;/D&gt;&lt;D xsi:type="xsd:long"&gt;43791&lt;/D&gt;&lt;D xsi:type="xsd:long"&gt;43794&lt;/D&gt;&lt;D xsi:type="xsd:long"&gt;43795&lt;/D&gt;&lt;D xsi:type="xsd:long"&gt;43796&lt;/D&gt;&lt;D xsi:type="xsd:long"&gt;43797&lt;/D&gt;&lt;D xsi:type="xsd:long"&gt;43798&lt;/D&gt;&lt;D xsi:type="xsd:long"&gt;43801&lt;/D&gt;&lt;D xsi:type="xsd:long"&gt;43802&lt;/D&gt;&lt;D xsi:type="xsd:long"&gt;43803&lt;/D&gt;&lt;D xsi:type="xsd:long"&gt;43804&lt;/D&gt;&lt;D xsi:type="xsd:long"&gt;43805&lt;/D&gt;&lt;D xsi:type="xsd:long"&gt;43808&lt;/D&gt;&lt;D xsi:type="xsd:long"&gt;43809&lt;/D&gt;&lt;D xsi:type="xsd:long"&gt;43810&lt;/D&gt;&lt;D xsi:type="xsd:long"&gt;43811&lt;/D&gt;&lt;D xsi:type="xsd:long"&gt;43812&lt;/D&gt;&lt;D xsi:type="xsd:long"&gt;43815&lt;/D&gt;&lt;D xsi:type="xsd:long"&gt;43816&lt;/D&gt;&lt;D xsi:type="xsd:long"&gt;43817&lt;/D&gt;&lt;D xsi:type="xsd:long"&gt;43818&lt;/D&gt;&lt;D xsi:type="xsd:long"&gt;43819&lt;/D&gt;&lt;D xsi:type="xsd:long"&gt;43822&lt;/D&gt;&lt;D xsi:type="xsd:long"&gt;43823&lt;/D&gt;&lt;D xsi:type="xsd:long"&gt;43824&lt;/D&gt;&lt;D xsi:type="xsd:long"&gt;43825&lt;/D&gt;&lt;D xsi:type="xsd:long"&gt;43826&lt;/D&gt;&lt;D xsi:type="xsd:long"&gt;43829&lt;/D&gt;&lt;D xsi:type="xsd:long"&gt;43833&lt;/D&gt;&lt;D xsi:type="xsd:long"&gt;43836&lt;/D&gt;&lt;D xsi:type="xsd:long"&gt;43838&lt;/D&gt;&lt;D xsi:type="xsd:long"&gt;43839&lt;/D&gt;&lt;D xsi:type="xsd:long"&gt;43840&lt;/D&gt;&lt;D xsi:type="xsd:long"&gt;43843&lt;/D&gt;&lt;D xsi:type="xsd:long"&gt;43844&lt;/D&gt;&lt;D xsi:type="xsd:long"&gt;43845&lt;/D&gt;&lt;D xsi:type="xsd:long"&gt;43846&lt;/D&gt;&lt;D xsi:type="xsd:long"&gt;43847&lt;/D&gt;&lt;D xsi:type="xsd:long"&gt;43850&lt;/D&gt;&lt;D xsi:type="xsd:long"&gt;43851&lt;/D&gt;&lt;D xsi:type="xsd:long"&gt;43852&lt;/D&gt;&lt;D xsi:type="xsd:long"&gt;43853&lt;/D&gt;&lt;D xsi:type="xsd:long"&gt;43854&lt;/D&gt;&lt;D xsi:type="xsd:long"&gt;43857&lt;/D&gt;&lt;D xsi:type="xsd:long"&gt;43858&lt;/D&gt;&lt;D xsi:type="xsd:long"&gt;43859&lt;/D&gt;&lt;D xsi:type="xsd:long"&gt;43860&lt;/D&gt;&lt;D xsi:type="xsd:long"&gt;43861&lt;/D&gt;&lt;D xsi:type="xsd:long"&gt;43864&lt;/D&gt;&lt;D xsi:type="xsd:long"&gt;43865&lt;/D&gt;&lt;D xsi:type="xsd:long"&gt;43866&lt;/D&gt;&lt;D xsi:type="xsd:long"&gt;43867&lt;/D&gt;&lt;D xsi:type="xsd:long"&gt;43868&lt;/D&gt;&lt;D xsi:type="xsd:long"&gt;43871&lt;/D&gt;&lt;D xsi:type="xsd:long"&gt;43872&lt;/D&gt;&lt;D xsi:type="xsd:long"&gt;43873&lt;/D&gt;&lt;D xsi:type="xsd:long"&gt;43874&lt;/D&gt;&lt;D xsi:type="xsd:long"&gt;43875&lt;/D&gt;&lt;D xsi:type="xsd:long"&gt;43878&lt;/D&gt;&lt;D xsi:type="xsd:long"&gt;43879&lt;/D&gt;&lt;D xsi:type="xsd:long"&gt;43880&lt;/D&gt;&lt;D xsi:type="xsd:long"&gt;43881&lt;/D&gt;&lt;D xsi:type="xsd:long"&gt;43882&lt;/D&gt;&lt;D xsi:type="xsd:long"&gt;43886&lt;/D&gt;&lt;D xsi:type="xsd:long"&gt;43887&lt;/D&gt;&lt;D xsi:type="xsd:long"&gt;43888&lt;/D&gt;&lt;D xsi:type="xsd:long"&gt;43889&lt;/D&gt;&lt;D xsi:type="xsd:long"&gt;43892&lt;/D&gt;&lt;D xsi:type="xsd:long"&gt;43893&lt;/D&gt;&lt;D xsi:type="xsd:long"&gt;43894&lt;/D&gt;&lt;D xsi:type="xsd:long"&gt;43895&lt;/D&gt;&lt;D xsi:type="xsd:long"&gt;43896&lt;/D&gt;&lt;D xsi:type="xsd:long"&gt;43900&lt;/D&gt;&lt;D xsi:type="xsd:long"&gt;43901&lt;/D&gt;&lt;D xsi:type="xsd:long"&gt;43902&lt;/D&gt;&lt;D xsi:type="xsd:long"&gt;43903&lt;/D&gt;&lt;D xsi:type="xsd:long"&gt;43906&lt;/D&gt;&lt;D xsi:type="xsd:long"&gt;43907&lt;/D&gt;&lt;D xsi:type="xsd:long"&gt;43908&lt;/D&gt;&lt;D xsi:type="xsd:long"&gt;43909&lt;/D&gt;&lt;D xsi:type="xsd:long"&gt;43910&lt;/D&gt;&lt;D xsi:type="xsd:long"&gt;43913&lt;/D&gt;&lt;D xsi:type="xsd:long"&gt;43914&lt;/D&gt;&lt;D xsi:type="xsd:long"&gt;43915&lt;/D&gt;&lt;D xsi:type="xsd:long"&gt;43916&lt;/D&gt;&lt;D xsi:type="xsd:long"&gt;43917&lt;/D&gt;&lt;D xsi:type="xsd:long"&gt;43920&lt;/D&gt;&lt;D xsi:type="xsd:long"&gt;43921&lt;/D&gt;&lt;D xsi:type="xsd:long"&gt;43922&lt;/D&gt;&lt;D xsi:type="xsd:long"&gt;43923&lt;/D&gt;&lt;D xsi:type="xsd:long"&gt;43924&lt;/D&gt;&lt;D xsi:type="xsd:long"&gt;43927&lt;/D&gt;&lt;D xsi:type="xsd:long"&gt;43928&lt;/D&gt;&lt;D xsi:type="xsd:long"&gt;43929&lt;/D&gt;&lt;D xsi:type="xsd:long"&gt;43930&lt;/D&gt;&lt;D xsi:type="xsd:long"&gt;43931&lt;/D&gt;&lt;D xsi:type="xsd:long"&gt;43934&lt;/D&gt;&lt;D xsi:type="xsd:long"&gt;43935&lt;/D&gt;&lt;D xsi:type="xsd:long"&gt;43936&lt;/D&gt;&lt;D xsi:type="xsd:long"&gt;43937&lt;/D&gt;&lt;D xsi:type="xsd:long"&gt;43938&lt;/D&gt;&lt;D xsi:type="xsd:long"&gt;43941&lt;/D&gt;&lt;D xsi:type="xsd:long"&gt;43942&lt;/D&gt;&lt;D xsi:type="xsd:long"&gt;43943&lt;/D&gt;&lt;D xsi:type="xsd:long"&gt;43944&lt;/D&gt;&lt;D xsi:type="xsd:long"&gt;43945&lt;/D&gt;&lt;D xsi:type="xsd:long"&gt;43948&lt;/D&gt;&lt;D xsi:type="xsd:long"&gt;43949&lt;/D&gt;&lt;D xsi:type="xsd:long"&gt;43950&lt;/D&gt;&lt;D xsi:type="xsd:long"&gt;43951&lt;/D&gt;&lt;D xsi:type="xsd:long"&gt;43955&lt;/D&gt;&lt;D xsi:type="xsd:long"&gt;43956&lt;/D&gt;&lt;D xsi:type="xsd:long"&gt;43957&lt;/D&gt;&lt;D xsi:type="xsd:long"&gt;43958&lt;/D&gt;&lt;D xsi:type="xsd:long"&gt;43959&lt;/D&gt;&lt;D xsi:type="xsd:long"&gt;43963&lt;/D&gt;&lt;D xsi:type="xsd:long"&gt;43964&lt;/D&gt;&lt;D xsi:type="xsd:long"&gt;43965&lt;/D&gt;&lt;D xsi:type="xsd:long"&gt;43966&lt;/D&gt;&lt;D xsi:type="xsd:long"&gt;43969&lt;/D&gt;&lt;D xsi:type="xsd:long"&gt;43970&lt;/D&gt;&lt;D xsi:type="xsd:long"&gt;43971&lt;/D&gt;&lt;D xsi:type="xsd:long"&gt;43972&lt;/D&gt;&lt;D xsi:type="xsd:long"&gt;43973&lt;/D&gt;&lt;D xsi:type="xsd:long"&gt;43976&lt;/D&gt;&lt;D xsi:type="xsd:long"&gt;43977&lt;/D&gt;&lt;D xsi:type="xsd:long"&gt;43978&lt;/D&gt;&lt;D xsi:type="xsd:long"&gt;43979&lt;/D&gt;&lt;D xsi:type="xsd:long"&gt;43980&lt;/D&gt;&lt;D xsi:type="xsd:long"&gt;43983&lt;/D&gt;&lt;D xsi:type="xsd:long"&gt;43984&lt;/D&gt;&lt;D xsi:type="xsd:long"&gt;43985&lt;/D&gt;&lt;D xsi:type="xsd:long"&gt;43986&lt;/D&gt;&lt;D xsi:type="xsd:long"&gt;43987&lt;/D&gt;&lt;D xsi:type="xsd:long"&gt;43990&lt;/D&gt;&lt;D xsi:type="xsd:long"&gt;43991&lt;/D&gt;&lt;D xsi:type="xsd:long"&gt;43992&lt;/D&gt;&lt;D xsi:type="xsd:long"&gt;43993&lt;/D&gt;&lt;D xsi:type="xsd:long"&gt;43997&lt;/D&gt;&lt;D xsi:type="xsd:long"&gt;43998&lt;/D&gt;&lt;D xsi:type="xsd:long"&gt;43999&lt;/D&gt;&lt;D xsi:type="xsd:long"&gt;44000&lt;/D&gt;&lt;D xsi:type="xsd:long"&gt;44001&lt;/D&gt;&lt;D xsi:type="xsd:long"&gt;44004&lt;/D&gt;&lt;D xsi:type="xsd:long"&gt;44005&lt;/D&gt;&lt;D xsi:type="xsd:long"&gt;44007&lt;/D&gt;&lt;D xsi:type="xsd:long"&gt;44008&lt;/D&gt;&lt;D xsi:type="xsd:long"&gt;44011&lt;/D&gt;&lt;D xsi:type="xsd:long"&gt;44012&lt;/D&gt;&lt;D xsi:type="xsd:long"&gt;44014&lt;/D&gt;&lt;D xsi:type="xsd:long"&gt;44015&lt;/D&gt;&lt;D xsi:type="xsd:long"&gt;44018&lt;/D&gt;&lt;D xsi:type="xsd:long"&gt;44019&lt;/D&gt;&lt;D xsi:type="xsd:long"&gt;44020&lt;/D&gt;&lt;D xsi:type="xsd:long"&gt;44021&lt;/D&gt;&lt;D xsi:type="xsd:long"&gt;44022&lt;/D&gt;&lt;D xsi:type="xsd:long"&gt;44025&lt;/D&gt;&lt;D xsi:type="xsd:long"&gt;44026&lt;/D&gt;&lt;D xsi:type="xsd:long"&gt;44027&lt;/D&gt;&lt;D xsi:type="xsd:long"&gt;44028&lt;/D&gt;&lt;D xsi:type="xsd:long"&gt;44029&lt;/D&gt;&lt;D xsi:type="xsd:long"&gt;44032&lt;/D&gt;&lt;D xsi:type="xsd:long"&gt;44033&lt;/D&gt;&lt;D xsi:type="xsd:long"&gt;44034&lt;/D&gt;&lt;D xsi:type="xsd:long"&gt;44035&lt;/D&gt;&lt;D xsi:type="xsd:long"&gt;44036&lt;/D&gt;&lt;D xsi:type="xsd:long"&gt;44039&lt;/D&gt;&lt;D xsi:type="xsd:long"&gt;44040&lt;/D&gt;&lt;D xsi:type="xsd:long"&gt;44041&lt;/D&gt;&lt;D xsi:type="xsd:long"&gt;44042&lt;/D&gt;&lt;D xsi:type="xsd:long"&gt;44043&lt;/D&gt;&lt;D xsi:type="xsd:long"&gt;44046&lt;/D&gt;&lt;D xsi:type="xsd:long"&gt;44047&lt;/D&gt;&lt;D xsi:type="xsd:long"&gt;44048&lt;/D&gt;&lt;D xsi:type="xsd:long"&gt;44049&lt;/D&gt;&lt;D xsi:type="xsd:long"&gt;44050&lt;/D&gt;&lt;D xsi:type="xsd:long"&gt;44053&lt;/D&gt;&lt;D xsi:type="xsd:long"&gt;44054&lt;/D&gt;&lt;D xsi:type="xsd:long"&gt;44055&lt;/D&gt;&lt;D xsi:type="xsd:long"&gt;44056&lt;/D&gt;&lt;D xsi:type="xsd:long"&gt;44057&lt;/D&gt;&lt;D xsi:type="xsd:long"&gt;44060&lt;/D&gt;&lt;D xsi:type="xsd:long"&gt;44061&lt;/D&gt;&lt;D xsi:type="xsd:long"&gt;44062&lt;/D&gt;&lt;D xsi:type="xsd:long"&gt;44063&lt;/D&gt;&lt;D xsi:type="xsd:long"&gt;44064&lt;/D&gt;&lt;D xsi:type="xsd:long"&gt;44067&lt;/D&gt;&lt;D xsi:type="xsd:long"&gt;44068&lt;/D&gt;&lt;D xsi:type="xsd:long"&gt;44069&lt;/D&gt;&lt;D xsi:type="xsd:long"&gt;44070&lt;/D&gt;&lt;D xsi:type="xsd:long"&gt;44071&lt;/D&gt;&lt;D xsi:type="xsd:long"&gt;44074&lt;/D&gt;&lt;D xsi:type="xsd:long"&gt;44075&lt;/D&gt;&lt;D xsi:type="xsd:long"&gt;44076&lt;/D&gt;&lt;D xsi:type="xsd:long"&gt;44077&lt;/D&gt;&lt;D xsi:type="xsd:long"&gt;44078&lt;/D&gt;&lt;D xsi:type="xsd:long"&gt;44081&lt;/D&gt;&lt;D xsi:type="xsd:long"&gt;44082&lt;/D&gt;&lt;D xsi:type="xsd:long"&gt;44083&lt;/D&gt;&lt;D xsi:type="xsd:long"&gt;44084&lt;/D&gt;&lt;D xsi:type="xsd:long"&gt;44085&lt;/D&gt;&lt;D xsi:type="xsd:long"&gt;44088&lt;/D&gt;&lt;D xsi:type="xsd:long"&gt;44089&lt;/D&gt;&lt;D xsi:type="xsd:long"&gt;44090&lt;/D&gt;&lt;D xsi:type="xsd:long"&gt;44091&lt;/D&gt;&lt;D xsi:type="xsd:long"&gt;44092&lt;/D&gt;&lt;D xsi:type="xsd:long"&gt;44095&lt;/D&gt;&lt;D xsi:type="xsd:long"&gt;44096&lt;/D&gt;&lt;D xsi:type="xsd:long"&gt;44097&lt;/D&gt;&lt;D xsi:type="xsd:long"&gt;44098&lt;/D&gt;&lt;D xsi:type="xsd:long"&gt;44099&lt;/D&gt;&lt;D xsi:type="xsd:long"&gt;44102&lt;/D&gt;&lt;D xsi:type="xsd:long"&gt;44103&lt;/D&gt;&lt;D xsi:type="xsd:long"&gt;44104&lt;/D&gt;&lt;D xsi:type="xsd:long"&gt;44105&lt;/D&gt;&lt;D xsi:type="xsd:long"&gt;44106&lt;/D&gt;&lt;D xsi:type="xsd:long"&gt;44109&lt;/D&gt;&lt;D xsi:type="xsd:long"&gt;44110&lt;/D&gt;&lt;D xsi:type="xsd:long"&gt;44111&lt;/D&gt;&lt;D xsi:type="xsd:long"&gt;44112&lt;/D&gt;&lt;D xsi:type="xsd:long"&gt;44113&lt;/D&gt;&lt;D xsi:type="xsd:long"&gt;44116&lt;/D&gt;&lt;D xsi:type="xsd:long"&gt;44117&lt;/D&gt;&lt;D xsi:type="xsd:long"&gt;44118&lt;/D&gt;&lt;D xsi:type="xsd:long"&gt;44119&lt;/D&gt;&lt;D xsi:type="xsd:long"&gt;44120&lt;/D&gt;&lt;D xsi:type="xsd:long"&gt;44123&lt;/D&gt;&lt;D xsi:type="xsd:long"&gt;44124&lt;/D&gt;&lt;D xsi:type="xsd:long"&gt;44125&lt;/D&gt;&lt;D xsi:type="xsd:long"&gt;44126&lt;/D&gt;&lt;D xsi:type="xsd:long"&gt;44127&lt;/D&gt;&lt;D xsi:type="xsd:long"&gt;44130&lt;/D&gt;&lt;D xsi:type="xsd:long"&gt;44131&lt;/D&gt;&lt;D xsi:type="xsd:long"&gt;44132&lt;/D&gt;&lt;D xsi:type="xsd:long"&gt;44133&lt;/D&gt;&lt;D xsi:type="xsd:long"&gt;44134&lt;/D&gt;&lt;D xsi:type="xsd:long"&gt;44137&lt;/D&gt;&lt;D xsi:type="xsd:long"&gt;44138&lt;/D&gt;&lt;D xsi:type="xsd:long"&gt;44140&lt;/D&gt;&lt;D xsi:type="xsd:long"&gt;44141&lt;/D&gt;&lt;D xsi:type="xsd:long"&gt;44144&lt;/D&gt;&lt;D xsi:type="xsd:long"&gt;44145&lt;/D&gt;&lt;D xsi:type="xsd:long"&gt;44146&lt;/D&gt;&lt;D xsi:type="xsd:long"&gt;44147&lt;/D&gt;&lt;D xsi:type="xsd:long"&gt;44148&lt;/D&gt;&lt;D xsi:type="xsd:long"&gt;44151&lt;/D&gt;&lt;D xsi:type="xsd:long"&gt;44152&lt;/D&gt;&lt;D xsi:type="xsd:long"&gt;44153&lt;/D&gt;&lt;D xsi:type="xsd:long"&gt;44154&lt;/D&gt;&lt;D xsi:type="xsd:long"&gt;44155&lt;/D&gt;&lt;D xsi:type="xsd:long"&gt;44158&lt;/D&gt;&lt;D xsi:type="xsd:long"&gt;44159&lt;/D&gt;&lt;D xsi:type="xsd:long"&gt;44160&lt;/D&gt;&lt;D xsi:type="xsd:long"&gt;44161&lt;/D&gt;&lt;D xsi:type="xsd:long"&gt;44162&lt;/D&gt;&lt;D xsi:type="xsd:long"&gt;44165&lt;/D&gt;&lt;D xsi:type="xsd:long"&gt;44166&lt;/D&gt;&lt;D xsi:type="xsd:long"&gt;44167&lt;/D&gt;&lt;D xsi:type="xsd:long"&gt;44168&lt;/D&gt;&lt;D xsi:type="xsd:long"&gt;44169&lt;/D&gt;&lt;D xsi:type="xsd:long"&gt;44172&lt;/D&gt;&lt;D xsi:type="xsd:long"&gt;44173&lt;/D&gt;&lt;D xsi:type="xsd:long"&gt;44174&lt;/D&gt;&lt;D xsi:type="xsd:long"&gt;44175&lt;/D&gt;&lt;D xsi:type="xsd:long"&gt;44176&lt;/D&gt;&lt;D xsi:type="xsd:long"&gt;44179&lt;/D&gt;&lt;D xsi:type="xsd:long"&gt;44180&lt;/D&gt;&lt;D xsi:type="xsd:long"&gt;44181&lt;/D&gt;&lt;D xsi:type="xsd:long"&gt;44182&lt;/D&gt;&lt;D xsi:type="xsd:long"&gt;44183&lt;/D&gt;&lt;D xsi:type="xsd:long"&gt;44186&lt;/D&gt;&lt;D xsi:type="xsd:long"&gt;44187&lt;/D&gt;&lt;D xsi:type="xsd:long"&gt;44188&lt;/D&gt;&lt;D xsi:type="xsd:long"&gt;44189&lt;/D&gt;&lt;D xsi:type="xsd:long"&gt;44190&lt;/D&gt;&lt;D xsi:type="xsd:long"&gt;44193&lt;/D&gt;&lt;D xsi:type="xsd:long"&gt;44194&lt;/D&gt;&lt;D xsi:type="xsd:long"&gt;44195&lt;/D&gt;&lt;D xsi:type="xsd:long"&gt;44200&lt;/D&gt;&lt;D xsi:type="xsd:long"&gt;44201&lt;/D&gt;&lt;D xsi:type="xsd:long"&gt;44202&lt;/D&gt;&lt;D xsi:type="xsd:long"&gt;44204&lt;/D&gt;&lt;D xsi:type="xsd:long"&gt;44207&lt;/D&gt;&lt;D xsi:type="xsd:long"&gt;44208&lt;/D&gt;&lt;D xsi:type="xsd:long"&gt;44209&lt;/D&gt;&lt;D xsi:type="xsd:long"&gt;44210&lt;/D&gt;&lt;D xsi:type="xsd:long"&gt;44211&lt;/D&gt;&lt;D xsi:type="xsd:long"&gt;44214&lt;/D&gt;&lt;D xsi:type="xsd:long"&gt;44215&lt;/D&gt;&lt;D xsi:type="xsd:long"&gt;44216&lt;/D&gt;&lt;D xsi:type="xsd:long"&gt;44217&lt;/D&gt;&lt;D xsi:type="xsd:long"&gt;44218&lt;/D&gt;&lt;D xsi:type="xsd:long"&gt;44221&lt;/D&gt;&lt;D xsi:type="xsd:long"&gt;44222&lt;/D&gt;&lt;D xsi:type="xsd:long"&gt;44223&lt;/D&gt;&lt;D xsi:type="xsd:long"&gt;44224&lt;/D&gt;&lt;D xsi:type="xsd:long"&gt;44225&lt;/D&gt;&lt;D xsi:type="xsd:long"&gt;44228&lt;/D&gt;&lt;D xsi:type="xsd:long"&gt;44229&lt;/D&gt;&lt;D xsi:type="xsd:long"&gt;44230&lt;/D&gt;&lt;D xsi:type="xsd:long"&gt;44231&lt;/D&gt;&lt;D xsi:type="xsd:long"&gt;44232&lt;/D&gt;&lt;D xsi:type="xsd:long"&gt;44235&lt;/D&gt;&lt;D xsi:type="xsd:long"&gt;44236&lt;/D&gt;&lt;D xsi:type="xsd:long"&gt;44237&lt;/D&gt;&lt;D xsi:type="xsd:long"&gt;44238&lt;/D&gt;&lt;D xsi:type="xsd:long"&gt;44239&lt;/D&gt;&lt;D xsi:type="xsd:long"&gt;44242&lt;/D&gt;&lt;D xsi:type="xsd:long"&gt;44243&lt;/D&gt;&lt;D xsi:type="xsd:long"&gt;44244&lt;/D&gt;&lt;D xsi:type="xsd:long"&gt;44245&lt;/D&gt;&lt;D xsi:type="xsd:long"&gt;44246&lt;/D&gt;&lt;D xsi:type="xsd:long"&gt;44249&lt;/D&gt;&lt;D xsi:type="xsd:long"&gt;44251&lt;/D&gt;&lt;D xsi:type="xsd:long"&gt;44252&lt;/D&gt;&lt;D xsi:type="xsd:long"&gt;44253&lt;/D&gt;&lt;D xsi:type="xsd:long"&gt;44256&lt;/D&gt;&lt;D xsi:type="xsd:long"&gt;44257&lt;/D&gt;&lt;D xsi:type="xsd:long"&gt;44258&lt;/D&gt;&lt;D xsi:type="xsd:long"&gt;44259&lt;/D&gt;&lt;D xsi:type="xsd:long"&gt;44260&lt;/D&gt;&lt;D xsi:type="xsd:long"&gt;44264&lt;/D&gt;&lt;D xsi:type="xsd:long"&gt;44265&lt;/D&gt;&lt;D xsi:type="xsd:long"&gt;44266&lt;/D&gt;&lt;D xsi:type="xsd:long"&gt;44267&lt;/D&gt;&lt;D xsi:type="xsd:long"&gt;44270&lt;/D&gt;&lt;D xsi:type="xsd:long"&gt;44271&lt;/D&gt;&lt;D xsi:type="xsd:long"&gt;44272&lt;/D&gt;&lt;D xsi:type="xsd:long"&gt;44273&lt;/D&gt;&lt;D xsi:type="xsd:long"&gt;44274&lt;/D&gt;&lt;D xsi:type="xsd:long"&gt;44277&lt;/D&gt;&lt;D xsi:type="xsd:long"&gt;44278&lt;/D&gt;&lt;D xsi:type="xsd:long"&gt;44279&lt;/D&gt;&lt;D xsi:type="xsd:long"&gt;44280&lt;/D&gt;&lt;D xsi:type="xsd:long"&gt;44281&lt;/D&gt;&lt;D xsi:type="xsd:long"&gt;44284&lt;/D&gt;&lt;D xsi:type="xsd:long"&gt;44285&lt;/D&gt;&lt;D xsi:type="xsd:long"&gt;44286&lt;/D&gt;&lt;D xsi:type="xsd:long"&gt;44287&lt;/D&gt;&lt;D xsi:type="xsd:long"&gt;44288&lt;/D&gt;&lt;D xsi:type="xsd:long"&gt;44291&lt;/D&gt;&lt;D xsi:type="xsd:long"&gt;44292&lt;/D&gt;&lt;D xsi:type="xsd:long"&gt;44293&lt;/D&gt;&lt;D xsi:type="xsd:long"&gt;44294&lt;/D&gt;&lt;D xsi:type="xsd:long"&gt;44295&lt;/D&gt;&lt;D xsi:type="xsd:long"&gt;44298&lt;/D&gt;&lt;D xsi:type="xsd:long"&gt;44299&lt;/D&gt;&lt;D xsi:type="xsd:long"&gt;44300&lt;/D&gt;&lt;D xsi:type="xsd:long"&gt;44301&lt;/D&gt;&lt;D xsi:type="xsd:long"&gt;44302&lt;/D&gt;&lt;D xsi:type="xsd:long"&gt;44305&lt;/D&gt;&lt;D xsi:type="xsd:long"&gt;44306&lt;/D&gt;&lt;D xsi:type="xsd:long"&gt;44307&lt;/D&gt;&lt;D xsi:type="xsd:long"&gt;44308&lt;/D&gt;&lt;D xsi:type="xsd:long"&gt;44309&lt;/D&gt;&lt;D xsi:type="xsd:long"&gt;44312&lt;/D&gt;&lt;D xsi:type="xsd:long"&gt;44313&lt;/D&gt;&lt;D xsi:type="xsd:long"&gt;44314&lt;/D&gt;&lt;D xsi:type="xsd:long"&gt;44315&lt;/D&gt;&lt;D xsi:type="xsd:long"&gt;44316&lt;/D&gt;&lt;D xsi:type="xsd:long"&gt;44320&lt;/D&gt;&lt;D xsi:type="xsd:long"&gt;44321&lt;/D&gt;&lt;D xsi:type="xsd:long"&gt;44322&lt;/D&gt;&lt;D xsi:type="xsd:long"&gt;44323&lt;/D&gt;&lt;D xsi:type="xsd:long"&gt;44326&lt;/D&gt;&lt;D xsi:type="xsd:long"&gt;44327&lt;/D&gt;&lt;D xsi:type="xsd:long"&gt;44328&lt;/D&gt;&lt;D xsi:type="xsd:long"&gt;44329&lt;/D&gt;&lt;D xsi:type="xsd:long"&gt;44330&lt;/D&gt;&lt;D xsi:type="xsd:long"&gt;44333&lt;/D&gt;&lt;D xsi:type="xsd:long"&gt;44334&lt;/D&gt;&lt;D xsi:type="xsd:long"&gt;44335&lt;/D&gt;&lt;D xsi:type="xsd:long"&gt;44336&lt;/D&gt;&lt;D xsi:type="xsd:long"&gt;44337&lt;/D&gt;&lt;D xsi:type="xsd:long"&gt;44340&lt;/D&gt;&lt;D xsi:type="xsd:long"&gt;44341&lt;/D&gt;&lt;D xsi:type="xsd:long"&gt;44342&lt;/D&gt;&lt;D xsi:type="xsd:long"&gt;44343&lt;/D&gt;&lt;D xsi:type="xsd:long"&gt;44344&lt;/D&gt;&lt;D xsi:type="xsd:long"&gt;44347&lt;/D&gt;&lt;D xsi:type="xsd:long"&gt;44348&lt;/D&gt;&lt;D xsi:type="xsd:long"&gt;44349&lt;/D&gt;&lt;D xsi:type="xsd:long"&gt;44350&lt;/D&gt;&lt;D xsi:type="xsd:long"&gt;44351&lt;/D&gt;&lt;D xsi:type="xsd:long"&gt;44354&lt;/D&gt;&lt;D xsi:type="xsd:long"&gt;44355&lt;/D&gt;&lt;D xsi:type="xsd:long"&gt;44356&lt;/D&gt;&lt;D xsi:type="xsd:long"&gt;44357&lt;/D&gt;&lt;D xsi:type="xsd:long"&gt;44358&lt;/D&gt;&lt;D xsi:type="xsd:long"&gt;44361&lt;/D&gt;&lt;D xsi:type="xsd:long"&gt;44362&lt;/D&gt;&lt;D xsi:type="xsd:long"&gt;44363&lt;/D&gt;&lt;D xsi:type="xsd:long"&gt;44364&lt;/D&gt;&lt;D xsi:type="xsd:long"&gt;44365&lt;/D&gt;&lt;D xsi:type="xsd:long"&gt;44368&lt;/D&gt;&lt;D xsi:type="xsd:long"&gt;44369&lt;/D&gt;&lt;D xsi:type="xsd:long"&gt;44370&lt;/D&gt;&lt;D xsi:type="xsd:long"&gt;44371&lt;/D&gt;&lt;D xsi:type="xsd:long"&gt;44372&lt;/D&gt;&lt;D xsi:type="xsd:long"&gt;44375&lt;/D&gt;&lt;D xsi:type="xsd:long"&gt;44376&lt;/D&gt;&lt;D xsi:type="xsd:long"&gt;44377&lt;/D&gt;&lt;D xsi:type="xsd:long"&gt;44378&lt;/D&gt;&lt;D xsi:type="xsd:long"&gt;44379&lt;/D&gt;&lt;D xsi:type="xsd:long"&gt;44382&lt;/D&gt;&lt;D xsi:type="xsd:long"&gt;44383&lt;/D&gt;&lt;D xsi:type="xsd:long"&gt;44384&lt;/D&gt;&lt;D xsi:type="xsd:long"&gt;44385&lt;/D&gt;&lt;D xsi:type="xsd:long"&gt;44386&lt;/D&gt;&lt;D xsi:type="xsd:long"&gt;44389&lt;/D&gt;&lt;D xsi:type="xsd:long"&gt;44390&lt;/D&gt;&lt;D xsi:type="xsd:long"&gt;44391&lt;/D&gt;&lt;D xsi:type="xsd:long"&gt;44392&lt;/D&gt;&lt;D xsi:type="xsd:long"&gt;44393&lt;/D&gt;&lt;D xsi:type="xsd:long"&gt;44396&lt;/D&gt;&lt;D xsi:type="xsd:long"&gt;44397&lt;/D&gt;&lt;D xsi:type="xsd:long"&gt;44398&lt;/D&gt;&lt;D xsi:type="xsd:long"&gt;44399&lt;/D&gt;&lt;D xsi:type="xsd:long"&gt;44400&lt;/D&gt;&lt;D xsi:type="xsd:long"&gt;44403&lt;/D&gt;&lt;D xsi:type="xsd:long"&gt;44404&lt;/D&gt;&lt;D xsi:type="xsd:long"&gt;44405&lt;/D&gt;&lt;D xsi:type="xsd:long"&gt;44406&lt;/D&gt;&lt;D xsi:type="xsd:long"&gt;44407&lt;/D&gt;&lt;D xsi:type="xsd:long"&gt;44410&lt;/D&gt;&lt;D xsi:type="xsd:long"&gt;44411&lt;/D&gt;&lt;D xsi:type="xsd:long"&gt;44412&lt;/D&gt;&lt;D xsi:type="xsd:long"&gt;44413&lt;/D&gt;&lt;D xsi:type="xsd:long"&gt;44414&lt;/D&gt;&lt;D xsi:type="xsd:long"&gt;44417&lt;/D&gt;&lt;D xsi:type="xsd:long"&gt;44418&lt;/D&gt;&lt;D xsi:type="xsd:long"&gt;44419&lt;/D&gt;&lt;D xsi:type="xsd:long"&gt;44420&lt;/D&gt;&lt;D xsi:type="xsd:long"&gt;44421&lt;/D&gt;&lt;D xsi:type="xsd:long"&gt;44424&lt;/D&gt;&lt;D xsi:type="xsd:long"&gt;44425&lt;/D&gt;&lt;D xsi:type="xsd:long"&gt;44426&lt;/D&gt;&lt;D xsi:type="xsd:long"&gt;44427&lt;/D&gt;&lt;D xsi:type="xsd:long"&gt;44428&lt;/D&gt;&lt;D xsi:type="xsd:long"&gt;44431&lt;/D&gt;&lt;D xsi:type="xsd:long"&gt;44432&lt;/D&gt;&lt;D xsi:type="xsd:long"&gt;44433&lt;/D&gt;&lt;D xsi:type="xsd:long"&gt;44434&lt;/D&gt;&lt;D xsi:type="xsd:long"&gt;44435&lt;/D&gt;&lt;D xsi:type="xsd:long"&gt;44438&lt;/D&gt;&lt;D xsi:type="xsd:long"&gt;44439&lt;/D&gt;&lt;/FQL&gt;&lt;FQL&gt;&lt;Q&gt;MOWI-NO^JULIAN(FREF_SHARES_COMPANY(12/31/2016,0,CY,,0,"LEGACY").DATES)&lt;/Q&gt;&lt;R&gt;5&lt;/R&gt;&lt;C&gt;1&lt;/C&gt;&lt;D xsi:type="xsd:long"&gt;42734&lt;/D&gt;&lt;D xsi:type="xsd:long"&gt;43098&lt;/D&gt;&lt;D xsi:type="xsd:long"&gt;43462&lt;/D&gt;&lt;D xsi:type="xsd:long"&gt;43829&lt;/D&gt;&lt;D xsi:type="xsd:long"&gt;44195&lt;/D&gt;&lt;/FQL&gt;&lt;FQL&gt;&lt;Q&gt;MOWI-NO^FREF_SHARES_COMPANY(12/31/2016,0,CY,,0,"LEGACY")&lt;/Q&gt;&lt;R&gt;5&lt;/R&gt;&lt;C&gt;1&lt;/C&gt;&lt;D xsi:type="xsd:double"&gt;450.085662841797&lt;/D&gt;&lt;D xsi:type="xsd:double"&gt;490.167785644531&lt;/D&gt;&lt;D xsi:type="xsd:double"&gt;516.039733886719&lt;/D&gt;&lt;D xsi:type="xsd:double"&gt;517.111083984375&lt;/D&gt;&lt;D xsi:type="xsd:double"&gt;517.111083984375&lt;/D&gt;&lt;/FQL&gt;&lt;FQL&gt;&lt;Q&gt;BAKKA-NO^FREF_SHARES_COMPANY(12/31/2016,0,CY,,0,"LEGACY")&lt;/Q&gt;&lt;R&gt;5&lt;/R&gt;&lt;C&gt;1&lt;/C&gt;&lt;D xsi:type="xsd:double"&gt;48.9287643432617&lt;/D&gt;&lt;D xsi:type="xsd:double"&gt;48.9287643432617&lt;/D&gt;&lt;D xsi:type="xsd:double"&gt;48.9287643432617&lt;/D&gt;&lt;D xsi:type="xsd:double"&gt;59.1430015563965&lt;/D&gt;&lt;D xsi:type="xsd:double"&gt;59.1430015563965&lt;/D&gt;&lt;/FQL&gt;&lt;FQL&gt;&lt;Q&gt;SALM-NO^FREF_SHARES_COMPANY(12/31/2016,0,CY,,0,"LEGACY")&lt;/Q&gt;&lt;R&gt;5&lt;/R&gt;&lt;C&gt;1&lt;/C&gt;&lt;D xsi:type="xsd:double"&gt;113.300003051758&lt;/D&gt;&lt;D xsi:type="xsd:double"&gt;113.300003051758&lt;/D&gt;&lt;D xsi:type="xsd:double"&gt;113.300003051758&lt;/D&gt;&lt;D xsi:type="xsd:double"&gt;113.300003051758&lt;/D&gt;&lt;D xsi:type="xsd:double"&gt;113.300003051758&lt;/D&gt;&lt;/FQL&gt;&lt;FQL&gt;&lt;Q&gt;GSF-NO^FREF_SHARES_COMPANY(12/31/2016,0,CY,,0,"LEGACY")&lt;/Q&gt;&lt;R&gt;5&lt;/R&gt;&lt;C&gt;1&lt;/C&gt;&lt;D xsi:type="xsd:double"&gt;111.662002563477&lt;/D&gt;&lt;D xsi:type="xsd:double"&gt;111.662002563477&lt;/D&gt;&lt;D xsi:type="xsd:double"&gt;111.662002563477&lt;/D&gt;&lt;D xsi:type="xsd:double"&gt;111.662002563477&lt;/D&gt;&lt;D xsi:type="xsd:double"&gt;113.447036743164&lt;/D&gt;&lt;/FQL&gt;&lt;FQL&gt;&lt;Q&gt;LSG-NO^FREF_SHARES_COMPANY(12/31/2016,0,CY,,0,"LEGACY")&lt;/Q&gt;&lt;R&gt;5&lt;/R&gt;&lt;C&gt;1&lt;/C&gt;&lt;D xsi:type="xsd:double"&gt;595.773681640625&lt;/D&gt;&lt;D xsi:type="xsd:double"&gt;595.773681640625&lt;/D&gt;&lt;D xsi:type="xsd:double"&gt;595.773681640625&lt;/D&gt;&lt;D xsi:type="xsd:double"&gt;595.773681640625&lt;/D&gt;&lt;D xsi:type="xsd:double"&gt;595.773681640625&lt;/D&gt;&lt;/FQL&gt;&lt;FQL&gt;&lt;Q&gt;SALMOCAM-CL^FREF_SHARES_COMPANY(12/31/2016,0,CY,,0,"LEGACY")&lt;/Q&gt;&lt;R&gt;5&lt;/R&gt;&lt;C&gt;1&lt;/C&gt;&lt;D xsi:type="xsd:string"&gt;@NA&lt;/D&gt;&lt;D xsi:type="xsd:string"&gt;@NA&lt;/D&gt;&lt;D xsi:type="xsd:double"&gt;66&lt;/D&gt;&lt;D xsi:type="xsd:double"&gt;66&lt;/D&gt;&lt;D xsi:type="xsd:double"&gt;66&lt;/D&gt;&lt;/FQL&gt;&lt;FQL&gt;&lt;Q&gt;AQUA-RU^FREF_SHARES_COMPANY(12/31/2016,0,CY,,0,"LEGACY")&lt;/Q&gt;&lt;R&gt;5&lt;/R&gt;&lt;C&gt;1&lt;/C&gt;&lt;D xsi:type="xsd:double"&gt;87.2892303466797&lt;/D&gt;&lt;D xsi:type="xsd:double"&gt;87.8766479492188&lt;/D&gt;&lt;D xsi:type="xsd:double"&gt;87.8766479492188&lt;/D&gt;&lt;D xsi:type="xsd:double"&gt;87.8766479492188&lt;/D&gt;&lt;D xsi:type="xsd:double"&gt;87.8766479492188&lt;/D&gt;&lt;/FQL&gt;&lt;FQL&gt;&lt;Q&gt;AQUA-RU^FG_PRICE(-2AY,0,D)&lt;/Q&gt;&lt;R&gt;504&lt;/R&gt;&lt;C&gt;1&lt;/C&gt;&lt;D xsi:type="xsd:double"&gt;262.5&lt;/D&gt;&lt;D xsi:type="xsd:double"&gt;258.5&lt;/D&gt;&lt;D xsi:type="xsd:double"&gt;256.5&lt;/D&gt;&lt;D xsi:type="xsd:double"&gt;255.5&lt;/D&gt;&lt;D xsi:type="xsd:double"&gt;254&lt;/D&gt;&lt;D xsi:type="xsd:double"&gt;255.5&lt;/D&gt;&lt;D xsi:type="xsd:double"&gt;256&lt;/D&gt;&lt;D xsi:type="xsd:double"&gt;256.5&lt;/D&gt;&lt;D xsi:type="xsd:double"&gt;253&lt;/D&gt;&lt;D xsi:type="xsd:double"&gt;244&lt;/D&gt;&lt;D xsi:type="xsd:double"&gt;238&lt;/D&gt;&lt;D xsi:type="xsd:double"&gt;232.5&lt;/D&gt;&lt;D xsi:type="xsd:double"&gt;225.5&lt;/D&gt;&lt;D xsi:type="xsd:double"&gt;225&lt;/D&gt;&lt;D xsi:type="xsd:double"&gt;223&lt;/D&gt;&lt;D xsi:type="xsd:double"&gt;223.5&lt;/D&gt;&lt;D xsi:type="xsd:double"&gt;225&lt;/D&gt;&lt;D xsi:type="xsd:double"&gt;224&lt;/D&gt;&lt;D xsi:type="xsd:double"&gt;221&lt;/D&gt;&lt;D xsi:type="xsd:double"&gt;221.5&lt;/D&gt;&lt;D xsi:type="xsd:double"&gt;222&lt;/D&gt;&lt;D xsi:type="xsd:double"&gt;222&lt;/D&gt;&lt;D xsi:type="xsd:double"&gt;222&lt;/D&gt;&lt;D xsi:type="xsd:double"&gt;219.5&lt;/D&gt;&lt;D xsi:type="xsd:double"&gt;221.5&lt;/D&gt;&lt;D xsi:type="xsd:double"&gt;220.5&lt;/D&gt;&lt;D xsi:type="xsd:double"&gt;220.5&lt;/D&gt;&lt;D xsi:type="xsd:double"&gt;218.5&lt;/D&gt;&lt;D xsi:type="xsd:double"&gt;217&lt;/D&gt;&lt;D xsi:type="xsd:double"&gt;218.5&lt;/D&gt;&lt;D xsi:type="xsd:double"&gt;218.5&lt;/D&gt;&lt;D xsi:type="xsd:double"&gt;219&lt;/D&gt;&lt;D xsi:type="xsd:double"&gt;218.5&lt;/D&gt;&lt;D xsi:type="xsd:double"&gt;218.5&lt;/D&gt;&lt;D xsi:type="xsd:double"&gt;219&lt;/D&gt;&lt;D xsi:type="xsd:double"&gt;219.5&lt;/D&gt;&lt;D xsi:type="xsd:double"&gt;219.5&lt;/D&gt;&lt;D xsi:type="xsd:double"&gt;219.5&lt;/D&gt;&lt;D xsi:type="xsd:double"&gt;217&lt;/D&gt;&lt;D xsi:type="xsd:double"&gt;217&lt;/D&gt;&lt;D xsi:type="xsd:double"&gt;213&lt;/D&gt;&lt;D xsi:type="xsd:double"&gt;212&lt;/D&gt;&lt;D xsi:type="xsd:double"&gt;212&lt;/D&gt;&lt;D xsi:type="xsd:double"&gt;212.5&lt;/D&gt;&lt;D xsi:type="xsd:double"&gt;213&lt;/D&gt;&lt;D xsi:type="xsd:double"&gt;212.5&lt;/D&gt;&lt;D xsi:type="xsd:double"&gt;211.5&lt;/D&gt;&lt;D xsi:type="xsd:double"&gt;210&lt;/D&gt;&lt;D xsi:type="xsd:double"&gt;207.5&lt;/D&gt;&lt;D xsi:type="xsd:double"&gt;208&lt;/D&gt;&lt;D xsi:type="xsd:double"&gt;208.5&lt;/D&gt;&lt;D xsi:type="xsd:double"&gt;204&lt;/D&gt;&lt;D xsi:type="xsd:double"&gt;201.5&lt;/D&gt;&lt;D xsi:type="xsd:double"&gt;201&lt;/D&gt;&lt;D xsi:type="xsd:double"&gt;201.5&lt;/D&gt;&lt;D xsi:type="xsd:double"&gt;199&lt;/D&gt;&lt;D xsi:type="xsd:double"&gt;198.5&lt;/D&gt;&lt;D xsi:type="xsd:double"&gt;196&lt;/D&gt;&lt;D xsi:type="xsd:double"&gt;198&lt;/D&gt;&lt;D xsi:type="xsd:double"&gt;199&lt;/D&gt;&lt;D xsi:type="xsd:double"&gt;196.5&lt;/D&gt;&lt;D xsi:type="xsd:double"&gt;197&lt;/D&gt;&lt;D xsi:type="xsd:double"&gt;196&lt;/D&gt;&lt;D xsi:type="xsd:double"&gt;194&lt;/D&gt;&lt;D xsi:type="xsd:double"&gt;194.5&lt;/D&gt;&lt;D xsi:type="xsd:double"&gt;205&lt;/D&gt;&lt;D xsi:type="xsd:double"&gt;214.5&lt;/D&gt;&lt;D xsi:type="xsd:double"&gt;230&lt;/D&gt;&lt;D xsi:type="xsd:double"&gt;233.5&lt;/D&gt;&lt;D xsi:type="xsd:double"&gt;229.5&lt;/D&gt;&lt;D xsi:type="xsd:double"&gt;230&lt;/D&gt;&lt;D xsi:type="xsd:double"&gt;230&lt;/D&gt;&lt;D xsi:type="xsd:double"&gt;234&lt;/D&gt;&lt;D xsi:type="xsd:double"&gt;230&lt;/D&gt;&lt;D xsi:type="xsd:double"&gt;251.5&lt;/D&gt;&lt;D xsi:type="xsd:double"&gt;234&lt;/D&gt;&lt;D xsi:type="xsd:double"&gt;233&lt;/D&gt;&lt;D xsi:type="xsd:double"&gt;230&lt;/D&gt;&lt;D xsi:type="xsd:double"&gt;229.5&lt;/D&gt;&lt;D xsi:type="xsd:double"&gt;227&lt;/D&gt;&lt;D xsi:type="xsd:double"&gt;231&lt;/D&gt;&lt;D xsi:type="xsd:double"&gt;229&lt;/D&gt;&lt;D xsi:type="xsd:double"&gt;225&lt;/D&gt;&lt;D xsi:type="xsd:double"&gt;224&lt;/D&gt;&lt;D xsi:type="xsd:double"&gt;231&lt;/D&gt;&lt;D xsi:type="xsd:double"&gt;255.5&lt;/D&gt;&lt;D xsi:type="xsd:double"&gt;242&lt;/D&gt;&lt;D xsi:type="xsd:double"&gt;235.5&lt;/D&gt;&lt;D xsi:type="xsd:double"&gt;254&lt;/D&gt;&lt;D xsi:type="xsd:double"&gt;249&lt;/D&gt;&lt;D xsi:type="xsd:double"&gt;254&lt;/D&gt;&lt;D xsi:type="xsd:double"&gt;254.5&lt;/D&gt;&lt;D xsi:type="xsd:double"&gt;273&lt;/D&gt;&lt;D xsi:type="xsd:double"&gt;269&lt;/D&gt;&lt;D xsi:type="xsd:double"&gt;257.5&lt;/D&gt;&lt;D xsi:type="xsd:double"&gt;288&lt;/D&gt;&lt;D xsi:type="xsd:double"&gt;321&lt;/D&gt;&lt;D xsi:type="xsd:double"&gt;330&lt;/D&gt;&lt;D xsi:type="xsd:double"&gt;320&lt;/D&gt;&lt;D xsi:type="xsd:double"&gt;311&lt;/D&gt;&lt;D xsi:type="xsd:double"&gt;308.5&lt;/D&gt;&lt;D xsi:type="xsd:double"&gt;298.5&lt;/D&gt;&lt;D xsi:type="xsd:double"&gt;309.5&lt;/D&gt;&lt;D xsi:type="xsd:double"&gt;306&lt;/D&gt;&lt;D xsi:type="xsd:double"&gt;301&lt;/D&gt;&lt;D xsi:type="xsd:double"&gt;309.5&lt;/D&gt;&lt;D xsi:type="xsd:double"&gt;308.5&lt;/D&gt;&lt;D xsi:type="xsd:double"&gt;311&lt;/D&gt;&lt;D xsi:type="xsd:double"&gt;310&lt;/D&gt;&lt;D xsi:type="xsd:double"&gt;310&lt;/D&gt;&lt;D xsi:type="xsd:double"&gt;306&lt;/D&gt;&lt;D xsi:type="xsd:double"&gt;304.5&lt;/D&gt;&lt;D xsi:type="xsd:double"&gt;302.5&lt;/D&gt;&lt;D xsi:type="xsd:double"&gt;301.5&lt;/D&gt;&lt;D xsi:type="xsd:double"&gt;294.5&lt;/D&gt;&lt;D xsi:type="xsd:double"&gt;296&lt;/D&gt;&lt;D xsi:type="xsd:double"&gt;300&lt;/D&gt;&lt;D xsi:type="xsd:double"&gt;298.5&lt;/D&gt;&lt;D xsi:type="xsd:double"&gt;298&lt;/D&gt;&lt;D xsi:type="xsd:double"&gt;304&lt;/D&gt;&lt;D xsi:type="xsd:double"&gt;308.5&lt;/D&gt;&lt;D xsi:type="xsd:double"&gt;297&lt;/D&gt;&lt;D xsi:type="xsd:double"&gt;300&lt;/D&gt;&lt;D xsi:type="xsd:double"&gt;280&lt;/D&gt;&lt;D xsi:type="xsd:double"&gt;261.5&lt;/D&gt;&lt;D xsi:type="xsd:double"&gt;255&lt;/D&gt;&lt;D xsi:type="xsd:double"&gt;261&lt;/D&gt;&lt;D xsi:type="xsd:double"&gt;264&lt;/D&gt;&lt;D xsi:type="xsd:double"&gt;257&lt;/D&gt;&lt;D xsi:type="xsd:double"&gt;243.5&lt;/D&gt;&lt;D xsi:type="xsd:doub</t>
        </r>
      </text>
    </comment>
    <comment ref="A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le"&gt;234&lt;/D&gt;&lt;D xsi:type="xsd:double"&gt;245.5&lt;/D&gt;&lt;D xsi:type="xsd:double"&gt;205&lt;/D&gt;&lt;D xsi:type="xsd:double"&gt;218.5&lt;/D&gt;&lt;D xsi:type="xsd:double"&gt;205.5&lt;/D&gt;&lt;D xsi:type="xsd:double"&gt;192.5&lt;/D&gt;&lt;D xsi:type="xsd:double"&gt;214.5&lt;/D&gt;&lt;D xsi:type="xsd:double"&gt;215&lt;/D&gt;&lt;D xsi:type="xsd:double"&gt;220&lt;/D&gt;&lt;D xsi:type="xsd:double"&gt;220&lt;/D&gt;&lt;D xsi:type="xsd:double"&gt;220&lt;/D&gt;&lt;D xsi:type="xsd:double"&gt;228.5&lt;/D&gt;&lt;D xsi:type="xsd:double"&gt;229&lt;/D&gt;&lt;D xsi:type="xsd:double"&gt;223&lt;/D&gt;&lt;D xsi:type="xsd:double"&gt;227.5&lt;/D&gt;&lt;D xsi:type="xsd:double"&gt;233.5&lt;/D&gt;&lt;D xsi:type="xsd:double"&gt;232&lt;/D&gt;&lt;D xsi:type="xsd:double"&gt;234&lt;/D&gt;&lt;D xsi:type="xsd:double"&gt;205.5&lt;/D&gt;&lt;D xsi:type="xsd:double"&gt;204&lt;/D&gt;&lt;D xsi:type="xsd:double"&gt;204&lt;/D&gt;&lt;D xsi:type="xsd:double"&gt;202.5&lt;/D&gt;&lt;D xsi:type="xsd:double"&gt;202.5&lt;/D&gt;&lt;D xsi:type="xsd:double"&gt;213&lt;/D&gt;&lt;D xsi:type="xsd:double"&gt;208&lt;/D&gt;&lt;D xsi:type="xsd:double"&gt;206&lt;/D&gt;&lt;D xsi:type="xsd:double"&gt;203.5&lt;/D&gt;&lt;D xsi:type="xsd:double"&gt;205.5&lt;/D&gt;&lt;D xsi:type="xsd:double"&gt;204.5&lt;/D&gt;&lt;D xsi:type="xsd:double"&gt;204&lt;/D&gt;&lt;D xsi:type="xsd:double"&gt;188.5&lt;/D&gt;&lt;D xsi:type="xsd:double"&gt;191.5&lt;/D&gt;&lt;D xsi:type="xsd:double"&gt;197&lt;/D&gt;&lt;D xsi:type="xsd:double"&gt;198&lt;/D&gt;&lt;D xsi:type="xsd:double"&gt;199.5&lt;/D&gt;&lt;D xsi:type="xsd:double"&gt;201&lt;/D&gt;&lt;D xsi:type="xsd:double"&gt;190.5&lt;/D&gt;&lt;D xsi:type="xsd:double"&gt;195&lt;/D&gt;&lt;D xsi:type="xsd:double"&gt;194.5&lt;/D&gt;&lt;D xsi:type="xsd:double"&gt;195&lt;/D&gt;&lt;D xsi:type="xsd:double"&gt;193&lt;/D&gt;&lt;D xsi:type="xsd:double"&gt;194.5&lt;/D&gt;&lt;D xsi:type="xsd:double"&gt;193.5&lt;/D&gt;&lt;D xsi:type="xsd:double"&gt;194.5&lt;/D&gt;&lt;D xsi:type="xsd:double"&gt;192&lt;/D&gt;&lt;D xsi:type="xsd:double"&gt;190.5&lt;/D&gt;&lt;D xsi:type="xsd:double"&gt;193&lt;/D&gt;&lt;D xsi:type="xsd:double"&gt;195&lt;/D&gt;&lt;D xsi:type="xsd:double"&gt;194.5&lt;/D&gt;&lt;D xsi:type="xsd:double"&gt;196&lt;/D&gt;&lt;D xsi:type="xsd:double"&gt;197&lt;/D&gt;&lt;D xsi:type="xsd:double"&gt;196&lt;/D&gt;&lt;D xsi:type="xsd:double"&gt;204.5&lt;/D&gt;&lt;D xsi:type="xsd:double"&gt;207.5&lt;/D&gt;&lt;D xsi:type="xsd:double"&gt;201&lt;/D&gt;&lt;D xsi:type="xsd:double"&gt;204.5&lt;/D&gt;&lt;D xsi:type="xsd:double"&gt;205.5&lt;/D&gt;&lt;D xsi:type="xsd:double"&gt;205.5&lt;/D&gt;&lt;D xsi:type="xsd:double"&gt;207&lt;/D&gt;&lt;D xsi:type="xsd:double"&gt;213.5&lt;/D&gt;&lt;D xsi:type="xsd:double"&gt;220.5&lt;/D&gt;&lt;D xsi:type="xsd:double"&gt;219&lt;/D&gt;&lt;D xsi:type="xsd:double"&gt;220.5&lt;/D&gt;&lt;D xsi:type="xsd:double"&gt;219&lt;/D&gt;&lt;D xsi:type="xsd:double"&gt;218.5&lt;/D&gt;&lt;D xsi:type="xsd:double"&gt;209.5&lt;/D&gt;&lt;D xsi:type="xsd:double"&gt;206.5&lt;/D&gt;&lt;D xsi:type="xsd:double"&gt;210.5&lt;/D&gt;&lt;D xsi:type="xsd:double"&gt;207.5&lt;/D&gt;&lt;D xsi:type="xsd:double"&gt;206&lt;/D&gt;&lt;D xsi:type="xsd:double"&gt;204.5&lt;/D&gt;&lt;D xsi:type="xsd:double"&gt;206&lt;/D&gt;&lt;D xsi:type="xsd:double"&gt;209.5&lt;/D&gt;&lt;D xsi:type="xsd:double"&gt;207&lt;/D&gt;&lt;D xsi:type="xsd:double"&gt;206&lt;/D&gt;&lt;D xsi:type="xsd:double"&gt;203.5&lt;/D&gt;&lt;D xsi:type="xsd:double"&gt;204&lt;/D&gt;&lt;D xsi:type="xsd:double"&gt;208&lt;/D&gt;&lt;D xsi:type="xsd:double"&gt;200.5&lt;/D&gt;&lt;D xsi:type="xsd:double"&gt;200&lt;/D&gt;&lt;D xsi:type="xsd:double"&gt;200.5&lt;/D&gt;&lt;D xsi:type="xsd:double"&gt;197&lt;/D&gt;&lt;D xsi:type="xsd:double"&gt;200&lt;/D&gt;&lt;D xsi:type="xsd:double"&gt;194.5&lt;/D&gt;&lt;D xsi:type="xsd:double"&gt;190&lt;/D&gt;&lt;D xsi:type="xsd:double"&gt;194&lt;/D&gt;&lt;D xsi:type="xsd:double"&gt;190&lt;/D&gt;&lt;D xsi:type="xsd:double"&gt;190.5&lt;/D&gt;&lt;D xsi:type="xsd:double"&gt;194.5&lt;/D&gt;&lt;D xsi:type="xsd:double"&gt;194&lt;/D&gt;&lt;D xsi:type="xsd:double"&gt;193.5&lt;/D&gt;&lt;D xsi:type="xsd:double"&gt;192.5&lt;/D&gt;&lt;D xsi:type="xsd:double"&gt;194.5&lt;/D&gt;&lt;D xsi:type="xsd:double"&gt;192&lt;/D&gt;&lt;D xsi:type="xsd:double"&gt;191.5&lt;/D&gt;&lt;D xsi:type="xsd:double"&gt;192.5&lt;/D&gt;&lt;D xsi:type="xsd:double"&gt;215.5&lt;/D&gt;&lt;D xsi:type="xsd:double"&gt;200.5&lt;/D&gt;&lt;D xsi:type="xsd:double"&gt;200.5&lt;/D&gt;&lt;D xsi:type="xsd:double"&gt;201.5&lt;/D&gt;&lt;D xsi:type="xsd:double"&gt;204&lt;/D&gt;&lt;D xsi:type="xsd:double"&gt;207.5&lt;/D&gt;&lt;D xsi:type="xsd:double"&gt;210&lt;/D&gt;&lt;D xsi:type="xsd:double"&gt;211&lt;/D&gt;&lt;D xsi:type="xsd:double"&gt;211&lt;/D&gt;&lt;D xsi:type="xsd:double"&gt;214.5&lt;/D&gt;&lt;D xsi:type="xsd:double"&gt;217&lt;/D&gt;&lt;D xsi:type="xsd:double"&gt;220.5&lt;/D&gt;&lt;D xsi:type="xsd:double"&gt;219.5&lt;/D&gt;&lt;D xsi:type="xsd:double"&gt;213&lt;/D&gt;&lt;D xsi:type="xsd:double"&gt;210&lt;/D&gt;&lt;D xsi:type="xsd:double"&gt;209&lt;/D&gt;&lt;D xsi:type="xsd:double"&gt;209&lt;/D&gt;&lt;D xsi:type="xsd:double"&gt;214&lt;/D&gt;&lt;D xsi:type="xsd:double"&gt;219&lt;/D&gt;&lt;D xsi:type="xsd:double"&gt;220&lt;/D&gt;&lt;D xsi:type="xsd:double"&gt;220.5&lt;/D&gt;&lt;D xsi:type="xsd:double"&gt;221&lt;/D&gt;&lt;D xsi:type="xsd:double"&gt;223&lt;/D&gt;&lt;D xsi:type="xsd:double"&gt;223.5&lt;/D&gt;&lt;D xsi:type="xsd:double"&gt;225&lt;/D&gt;&lt;D xsi:type="xsd:double"&gt;228&lt;/D&gt;&lt;D xsi:type="xsd:double"&gt;226&lt;/D&gt;&lt;D xsi:type="xsd:double"&gt;227.5&lt;/D&gt;&lt;D xsi:type="xsd:double"&gt;229.5&lt;/D&gt;&lt;D xsi:type="xsd:double"&gt;225.5&lt;/D&gt;&lt;D xsi:type="xsd:double"&gt;226&lt;/D&gt;&lt;D xsi:type="xsd:double"&gt;222.5&lt;/D&gt;&lt;D xsi:type="xsd:double"&gt;224.5&lt;/D&gt;&lt;D xsi:type="xsd:double"&gt;226&lt;/D&gt;&lt;D xsi:type="xsd:double"&gt;225.5&lt;/D&gt;&lt;D xsi:type="xsd:double"&gt;225&lt;/D&gt;&lt;D xsi:type="xsd:double"&gt;224&lt;/D&gt;&lt;D xsi:type="xsd:double"&gt;220.5&lt;/D&gt;&lt;D xsi:type="xsd:double"&gt;216&lt;/D&gt;&lt;D xsi:type="xsd:double"&gt;218.5&lt;/D&gt;&lt;D xsi:type="xsd:double"&gt;218&lt;/D&gt;&lt;D xsi:type="xsd:double"&gt;215&lt;/D&gt;&lt;D xsi:type="xsd:double"&gt;216&lt;/D&gt;&lt;D xsi:type="xsd:double"&gt;221.5&lt;/D&gt;&lt;D xsi:type="xsd:double"&gt;229&lt;/D&gt;&lt;D xsi:type="xsd:double"&gt;230.5&lt;/D&gt;&lt;D xsi:type="xsd:double"&gt;240&lt;/D&gt;&lt;D xsi:type="xsd:double"&gt;257.5&lt;/D&gt;&lt;D xsi:type="xsd:double"&gt;256&lt;/D&gt;&lt;D xsi:type="xsd:double"&gt;253&lt;/D&gt;&lt;D xsi:type="xsd:double"&gt;252.5&lt;/D&gt;&lt;D xsi:type="xsd:double"&gt;245.5&lt;/D&gt;&lt;D xsi:type="xsd:double"&gt;236.5&lt;/D&gt;&lt;D xsi:type="xsd:double"&gt;248.5&lt;/D&gt;&lt;D xsi:type="xsd:double"&gt;245.5&lt;/D&gt;&lt;D xsi:type="xsd:double"&gt;244&lt;/D&gt;&lt;D xsi:type="xsd:double"&gt;241.5&lt;/D&gt;&lt;D xsi:type="xsd:double"&gt;240&lt;/D&gt;&lt;D xsi:type="xsd:double"&gt;241&lt;/D&gt;&lt;D xsi:type="xsd:double"&gt;237&lt;/D&gt;&lt;D xsi:type="xsd:double"&gt;236.5&lt;/D&gt;&lt;D xsi:type="xsd:double"&gt;235&lt;/D&gt;&lt;D xsi:type="xsd:double"&gt;234&lt;/D&gt;&lt;D xsi:type="xsd:double"&gt;231&lt;/D&gt;&lt;D xsi:type="xsd:double"&gt;227.5&lt;/D&gt;&lt;D xsi:type="xsd:double"&gt;221&lt;/D&gt;&lt;D xsi:type="xsd:double"&gt;226&lt;/D&gt;&lt;D xsi:type="xsd:double"&gt;226&lt;/D&gt;&lt;D xsi:type="xsd:double"&gt;231&lt;/D&gt;&lt;D xsi:type="xsd:double"&gt;235&lt;/D&gt;&lt;D xsi:type="xsd:double"&gt;235&lt;/D&gt;&lt;D xsi:type="xsd:double"&gt;234.5&lt;/D&gt;&lt;D xsi:type="xsd:double"&gt;240&lt;/D&gt;&lt;D xsi:type="xsd:double"&gt;239&lt;/D&gt;&lt;D xsi:type="xsd:double"&gt;239.5&lt;/D&gt;&lt;D xsi:type="xsd:double"&gt;238.5&lt;/D&gt;&lt;D xsi:type="xsd:double"&gt;237&lt;/D&gt;&lt;D xsi:type="xsd:double"&gt;243.5&lt;/D&gt;&lt;D xsi:type="xsd:double"&gt;242.5&lt;/D&gt;&lt;D xsi:type="xsd:double"&gt;244.5&lt;/D&gt;&lt;D xsi:type="xsd:double"&gt;242&lt;/D&gt;&lt;D xsi:type="xsd:double"&gt;241.5&lt;/D&gt;&lt;D xsi:type="xsd:double"&gt;241&lt;/D&gt;&lt;D xsi:type="xsd:double"&gt;240.5&lt;/D&gt;&lt;D xsi:type="xsd:double"&gt;238&lt;/D&gt;&lt;D xsi:type="xsd:double"&gt;238.5&lt;/D&gt;&lt;D xsi:type="xsd:double"&gt;238&lt;/D&gt;&lt;D xsi:type="xsd:double"&gt;240&lt;/D&gt;&lt;D xsi:type="xsd:double"&gt;240&lt;/D&gt;&lt;D xsi:type="xsd:double"&gt;239&lt;/D&gt;&lt;D xsi:type="xsd:double"&gt;240.5&lt;/D&gt;&lt;D xsi:type="xsd:double"&gt;241&lt;/D&gt;&lt;D xsi:type="xsd:double"&gt;240.5&lt;/D&gt;&lt;D xsi:type="xsd:double"&gt;239.5&lt;/D&gt;&lt;D xsi:type="xsd:double"&gt;240&lt;/D&gt;&lt;D xsi:type="xsd:double"&gt;239&lt;/D&gt;&lt;D xsi:type="xsd:double"&gt;240&lt;/D&gt;&lt;D xsi:type="xsd:double"&gt;240.5&lt;/D&gt;&lt;D xsi:type="xsd:double"&gt;254&lt;/D&gt;&lt;D xsi:type="xsd:double"&gt;251&lt;/D&gt;&lt;D xsi:type="xsd:double"&gt;251.5&lt;/D&gt;&lt;D xsi:type="xsd:double"&gt;252&lt;/D&gt;&lt;D xsi:type="xsd:double"&gt;245.5&lt;/D&gt;&lt;D xsi:type="xsd:double"&gt;248&lt;/D&gt;&lt;D xsi:type="xsd:double"&gt;253&lt;/D&gt;&lt;D xsi:type="xsd:double"&gt;252&lt;/D&gt;&lt;D xsi:type="xsd:double"&gt;255.5&lt;/D&gt;&lt;D xsi:type="xsd:double"&gt;253.5&lt;/D&gt;&lt;D xsi:type="xsd:double"&gt;254&lt;/D&gt;&lt;D xsi:type="xsd:double"&gt;261.5&lt;/D&gt;&lt;D xsi:type="xsd:double"&gt;263&lt;/D&gt;&lt;D xsi:type="xsd:double"&gt;265&lt;/D&gt;&lt;D xsi:type="xsd:double"&gt;263.5&lt;/D&gt;&lt;D xsi:type="xsd:double"&gt;267&lt;/D&gt;&lt;D xsi:type="xsd:double"&gt;263.5&lt;/D&gt;&lt;D xsi:type="xsd:double"&gt;262&lt;/D&gt;&lt;D xsi:type="xsd:double"&gt;257.5&lt;/D&gt;&lt;D xsi:type="xsd:double"&gt;259&lt;/D&gt;&lt;D xsi:type="xsd:double"&gt;256.5&lt;/D&gt;&lt;D xsi:type="xsd:double"&gt;258.5&lt;/D&gt;&lt;D xsi:type="xsd:double"&gt;257.5&lt;/D&gt;&lt;D xsi:type="xsd:double"&gt;262&lt;/D&gt;&lt;D xsi:type="xsd:double"&gt;258&lt;/D&gt;&lt;D xsi:type="xsd:double"&gt;255&lt;/D&gt;&lt;D xsi:type="xsd:double"&gt;255&lt;/D&gt;&lt;D xsi:type="xsd:double"&gt;255&lt;/D&gt;&lt;D xsi:type="xsd:double"&gt;256&lt;/D&gt;&lt;D xsi:type="xsd:double"&gt;254&lt;/D&gt;&lt;D xsi:type="xsd:double"&gt;249&lt;/D&gt;&lt;D xsi:type="xsd:double"&gt;249&lt;/D&gt;&lt;D xsi:type="xsd:double"&gt;246.5&lt;/D&gt;&lt;D xsi:type="xsd:double"&gt;249&lt;/D&gt;&lt;D xsi:type="xsd:double"&gt;250&lt;/D&gt;&lt;D xsi:type="xsd:double"&gt;251&lt;/D&gt;&lt;D xsi:type="xsd:double"&gt;251&lt;/D&gt;&lt;D xsi:type="xsd:double"&gt;250&lt;/D&gt;&lt;D xsi:type="xsd:double"&gt;256&lt;/D&gt;&lt;D xsi:type="xsd:double"&gt;256&lt;/D&gt;&lt;D xsi:type="xsd:double"&gt;254&lt;/D&gt;&lt;D xsi:type="xsd:double"&gt;254.5&lt;/D&gt;&lt;D xsi:type="xsd:double"&gt;254&lt;/D&gt;&lt;D xsi:type="xsd:double"&gt;253&lt;/D&gt;&lt;D xsi:type="xsd:double"&gt;249&lt;/D&gt;&lt;D xsi:type="xsd:double"&gt;252.5&lt;/D&gt;&lt;D xsi:type="xsd:double"&gt;254&lt;/D&gt;&lt;D xsi:type="xsd:double"&gt;249.5&lt;/D&gt;&lt;D xsi:type="xsd:double"&gt;252&lt;/D&gt;&lt;D xsi:type="xsd:double"&gt;253&lt;/D&gt;&lt;D xsi:type="xsd:double"&gt;250.5&lt;/D&gt;&lt;D xsi:type="xsd:double"&gt;252.5&lt;/D&gt;&lt;D xsi:type="xsd:double"&gt;251.5&lt;/D&gt;&lt;D xsi:type="xsd:double"&gt;250&lt;/D&gt;&lt;D xsi:type="xsd:double"&gt;247&lt;/D&gt;&lt;D xsi:type="xsd:double"&gt;248&lt;/D&gt;&lt;D xsi:type="xsd:double"&gt;250&lt;/D&gt;&lt;D xsi:type="xsd:double"&gt;248&lt;/D&gt;&lt;D xsi:type="xsd:double"&gt;248&lt;/D&gt;&lt;D xsi:type="xsd:double"&gt;251&lt;/D&gt;&lt;D xsi:type="xsd:double"&gt;261.5&lt;/D&gt;&lt;D xsi:type="xsd:double"&gt;271&lt;/D&gt;&lt;D xsi:type="xsd:double"&gt;264&lt;/D&gt;&lt;D xsi:type="xsd:double"&gt;262.5&lt;/D&gt;&lt;D xsi:type="xsd:double"&gt;269.5&lt;/D&gt;&lt;D xsi:type="xsd:double"&gt;270&lt;/D&gt;&lt;D xsi:type="xsd:double"&gt;279.5&lt;/D&gt;&lt;D xsi:type="xsd:double"&gt;279.5&lt;/D&gt;&lt;D xsi:type="xsd:double"&gt;279.5&lt;/D&gt;&lt;D xsi:type="xsd:double"&gt;285&lt;/D&gt;&lt;D xsi:type="xsd:double"&gt;283.5&lt;/D&gt;&lt;D xsi:type="xsd:double"&gt;306&lt;/D&gt;&lt;D xsi:type="xsd:double"&gt;305&lt;/D&gt;&lt;D xsi:type="xsd:double"&gt;309&lt;/D&gt;&lt;D xsi:type="xsd:double"&gt;307.5&lt;/D&gt;&lt;D xsi:type="xsd:double"&gt;309.5&lt;/D&gt;&lt;D xsi:type="xsd:double"&gt;303&lt;/D&gt;&lt;D xsi:type="xsd:double"&gt;305&lt;/D&gt;&lt;D xsi:type="xsd:double"&gt;306&lt;/D&gt;&lt;D xsi:type="xsd:double"&gt;309&lt;/D&gt;&lt;D xsi:type="xsd:double"&gt;305&lt;/D&gt;&lt;D xsi:type="xsd:double"&gt;304&lt;/D&gt;&lt;D xsi:type="xsd:double"&gt;303.5&lt;/D&gt;&lt;D xsi:type="xsd:double"&gt;305&lt;/D&gt;&lt;D xsi:type="xsd:double"&gt;304.5&lt;/D&gt;&lt;D xsi:type="xsd:double"&gt;305&lt;/D&gt;&lt;D xsi:type="xsd:double"&gt;302.5&lt;/D&gt;&lt;D xsi:type="xsd:double"&gt;302.5&lt;/D&gt;&lt;D xsi:type="xsd:double"&gt;292&lt;/D&gt;&lt;D xsi:type="xsd:double"&gt;298.5&lt;/D&gt;&lt;D xsi:type="xsd:double"&gt;298&lt;/D&gt;&lt;D xsi:type="xsd:double"&gt;300&lt;/D&gt;&lt;D xsi:type="xsd:double"&gt;299&lt;/D&gt;&lt;D xsi:type="xsd:double"&gt;296&lt;/D&gt;&lt;D xsi:type="xsd:double"&gt;294&lt;/D&gt;&lt;D xsi:type="xsd:double"&gt;294.5&lt;/D&gt;&lt;D xsi:type="xsd:double"&gt;292&lt;/D&gt;&lt;D xsi:type="xsd:double"&gt;297.5&lt;/D&gt;&lt;D xsi:type="xsd:double"&gt;297.5&lt;/D&gt;&lt;D xsi:type="xsd:double"&gt;292&lt;/D&gt;&lt;D xsi:type="xsd:double"&gt;292&lt;/D&gt;&lt;D xsi:type="xsd:double"&gt;286&lt;/D&gt;&lt;D xsi:type="xsd:double"&gt;285&lt;/D&gt;&lt;D xsi:type="xsd:double"&gt;285&lt;/D&gt;&lt;D xsi:type="xsd:double"&gt;286&lt;/D&gt;&lt;D xsi:type="xsd:double"&gt;285&lt;/D&gt;&lt;D xsi:type="xsd:double"&gt;286&lt;/D&gt;&lt;D xsi:type="xsd:double"&gt;292&lt;/D&gt;&lt;D xsi:type="xsd:double"&gt;291.5&lt;/D&gt;&lt;D xsi:type="xsd:double"&gt;293.5&lt;/D&gt;&lt;D xsi:type="xsd:double"&gt;298&lt;/D&gt;&lt;D xsi:type="xsd:double"&gt;301.5&lt;/D&gt;&lt;D xsi:type="xsd:double"&gt;301.5&lt;/D&gt;&lt;D xsi:type="xsd:double"&gt;301.5&lt;/D&gt;&lt;D xsi:type="xsd:double"&gt;302&lt;/D&gt;&lt;D xsi:type="xsd:double"&gt;301.5&lt;/D&gt;&lt;D xsi:type="xsd:double"&gt;304&lt;/D&gt;&lt;D xsi:type="xsd:double"&gt;307.5&lt;/D&gt;&lt;D xsi:type="xsd:double"&gt;311.5&lt;/D&gt;&lt;D xsi:type="xsd:double"&gt;312.5&lt;/D&gt;&lt;D xsi:type="xsd:double"&gt;315.5&lt;/D&gt;&lt;D xsi:type="xsd:double"&gt;318.5&lt;/D&gt;&lt;D xsi:type="xsd:double"&gt;319.5&lt;/D&gt;&lt;D xsi:type="xsd:double"&gt;322.5&lt;/D&gt;&lt;D xsi:type="xsd:double"&gt;315&lt;/D&gt;&lt;D xsi:type="xsd:double"&gt;319.5&lt;/D&gt;&lt;D xsi:type="xsd:double"&gt;320&lt;/D&gt;&lt;D xsi:type="xsd:double"&gt;326&lt;/D&gt;&lt;D xsi:type="xsd:double"&gt;334.5&lt;/D&gt;&lt;D xsi:type="xsd:double"&gt;336&lt;/D&gt;&lt;D xsi:type="xsd:double"&gt;344&lt;/D&gt;&lt;D xsi:type="xsd:double"&gt;355.5&lt;/D&gt;&lt;D xsi:type="xsd:double"&gt;355&lt;/D&gt;&lt;D xsi:type="xsd:double"&gt;365&lt;/D&gt;&lt;D xsi:type="xsd:double"&gt;360&lt;/D&gt;&lt;D xsi:type="xsd:double"&gt;360&lt;/D&gt;&lt;D xsi:type="xsd:double"&gt;351&lt;/D&gt;&lt;D xsi:type="xsd:double"&gt;360.5&lt;/D&gt;&lt;D xsi:type="xsd:double"&gt;362.5&lt;/D&gt;&lt;D xsi:type="xsd:double"&gt;362&lt;/D&gt;&lt;D xsi:type="xsd:double"&gt;367&lt;/D&gt;&lt;D xsi:type="xsd:double"&gt;358&lt;/D&gt;&lt;D xsi:type="xsd:double"&gt;370&lt;/D&gt;&lt;D xsi:type="xsd:double"&gt;379.5&lt;/D&gt;&lt;D xsi:type="xsd:double"&gt;391.5&lt;/D&gt;&lt;D xsi:type="xsd:double"&gt;404.5&lt;/D&gt;&lt;D xsi:type="xsd:double"&gt;436.5&lt;/D&gt;&lt;D xsi:type="xsd:double"&gt;433.5&lt;/D&gt;&lt;D xsi:type="xsd:double"&gt;417&lt;/D&gt;&lt;D xsi:type="xsd:double"&gt;413&lt;/D&gt;&lt;D xsi:type="xsd:double"&gt;425&lt;/D&gt;&lt;D xsi:type="xsd:double"&gt;433&lt;/D&gt;&lt;D xsi:type="xsd:double"&gt;457&lt;/D&gt;&lt;D xsi:type="xsd:double"&gt;487&lt;/D&gt;&lt;D xsi:type="xsd:double"&gt;461.5&lt;/D&gt;&lt;D xsi:type="xsd:double"&gt;456&lt;/D&gt;&lt;D xsi:type="xsd:double"&gt;457.5&lt;/D&gt;&lt;D xsi:type="xsd:double"&gt;455.5&lt;/D&gt;&lt;D xsi:type="xsd:double"&gt;449&lt;/D&gt;&lt;D xsi:type="xsd:double"&gt;472.5&lt;/D&gt;&lt;D xsi:type="xsd:double"&gt;481&lt;/D&gt;&lt;D xsi:type="xsd:double"&gt;480&lt;/D&gt;&lt;D xsi:type="xsd:double"&gt;464&lt;/D&gt;&lt;D xsi:type="xsd:double"&gt;473&lt;/D&gt;&lt;D xsi:type="xsd:double"&gt;469.5&lt;/D&gt;&lt;D xsi:type="xsd:double"&gt;470&lt;/D&gt;&lt;D xsi:type="xsd:double"&gt;467&lt;/D&gt;&lt;D xsi:type="xsd:double"&gt;462.5&lt;/D&gt;&lt;D xsi:type="xsd:double"&gt;463&lt;/D&gt;&lt;D xsi:type="xsd:double"&gt;470&lt;/D&gt;&lt;D xsi:type="xsd:double"&gt;474&lt;/D&gt;&lt;D xsi:type="xsd:double"&gt;465&lt;/D&gt;&lt;D xsi:type="xsd:double"&gt;465&lt;/D&gt;&lt;D xsi:type="xsd:double"&gt;461&lt;/D&gt;&lt;D xsi:type="xsd:double"&gt;461&lt;/D&gt;&lt;D xsi:type="xsd:double"&gt;465&lt;/D&gt;&lt;D xsi:type="xsd:double"&gt;466&lt;/D&gt;&lt;D xsi:type="xsd:double"&gt;465&lt;/D&gt;&lt;D xsi:type="xsd:double"&gt;480.5&lt;/D&gt;&lt;D xsi:type="xsd:double"&gt;471&lt;/D&gt;&lt;/FQL&gt;&lt;FQL&gt;&lt;Q&gt;USDEUR^JULIAN(P_PRICE_AVG(12/31/2017,12/31/2018).DATES)&lt;/Q&gt;&lt;R&gt;1&lt;/R&gt;&lt;C&gt;1&lt;/C&gt;&lt;D xsi:type="xsd:long"&gt;43465&lt;/D&gt;&lt;/FQL&gt;&lt;FQL&gt;&lt;Q&gt;USDEUR^P_PRICE_AVG(12/31/2017,12/31/2018)&lt;/Q&gt;&lt;R&gt;1&lt;/R&gt;&lt;C&gt;1&lt;/C&gt;&lt;D xsi:type="xsd:double"&gt;0.84750086&lt;/D&gt;&lt;/FQL&gt;&lt;FQL&gt;&lt;Q&gt;USDDKK^P_PRICE_AVG(12/31/2017,12/31/2018)&lt;/Q&gt;&lt;R&gt;1&lt;/R&gt;&lt;C&gt;1&lt;/C&gt;&lt;D xsi:type="xsd:double"&gt;6.3167706&lt;/D&gt;&lt;/FQL&gt;&lt;FQL&gt;&lt;Q&gt;NOKUSD^P_PRICE_AVG(12/31/2017,12/31/2018)&lt;/Q&gt;&lt;R&gt;1&lt;/R&gt;&lt;C&gt;1&lt;/C&gt;&lt;D xsi:type="xsd:double"&gt;0.12297166&lt;/D&gt;&lt;/FQL&gt;&lt;FQL&gt;&lt;Q&gt;USDRUB^P_PRICE_AVG(12/31/2017,12/31/2018)&lt;/Q&gt;&lt;R&gt;1&lt;/R&gt;&lt;C&gt;1&lt;/C&gt;&lt;D xsi:type="xsd:double"&gt;62.783432&lt;/D&gt;&lt;/FQL&gt;&lt;FQL&gt;&lt;Q&gt;SALM-FDS^P_PRICE_AVG(12/31/2017,12/31/2018)&lt;/Q&gt;&lt;R&gt;0&lt;/R&gt;&lt;C&gt;0&lt;/C&gt;&lt;/FQL&gt;&lt;FQL&gt;&lt;Q&gt;MOWI-NO^JULIAN(P_PRICE_AVG(1/1/2017,12/31/2017,,USD).DATES)&lt;/Q&gt;&lt;R&gt;1&lt;/R&gt;&lt;C&gt;1&lt;/C&gt;&lt;D xsi:type="xsd:long"&gt;43098&lt;/D&gt;&lt;/FQL&gt;&lt;FQL&gt;&lt;Q&gt;MOWI-NO^P_PRICE_AVG(1/1/2017,12/31/2017,,USD)&lt;/Q&gt;&lt;R&gt;1&lt;/R&gt;&lt;C&gt;1&lt;/C&gt;&lt;D xsi:type="xsd:double"&gt;17.919327&lt;/D&gt;&lt;/FQL&gt;&lt;FQL&gt;&lt;Q&gt;BAKKA-NO^P_PRICE_AVG(1/1/2017,12/31/2017,,USD)&lt;/Q&gt;&lt;R&gt;1&lt;/R&gt;&lt;C&gt;1&lt;/C&gt;&lt;D xsi:type="xsd:double"&gt;39.52326&lt;/D&gt;&lt;/FQL&gt;&lt;FQL&gt;&lt;Q&gt;SALM-NO^P_PRICE_AVG(1/1/2017,12/31/2017,,USD)&lt;/Q&gt;&lt;R&gt;1&lt;/R&gt;&lt;C&gt;1&lt;/C&gt;&lt;D xsi:type="xsd:double"&gt;27.142311&lt;/D&gt;&lt;/FQL&gt;&lt;FQL&gt;&lt;Q&gt;GSF-NO^P_PRICE_AVG(1/1/2017,12/31/2017,,USD)&lt;/Q&gt;&lt;R&gt;1&lt;/R&gt;&lt;C&gt;1&lt;/C&gt;&lt;D xsi:type="xsd:double"&gt;8.675822&lt;/D&gt;&lt;/FQL&gt;&lt;FQL&gt;&lt;Q&gt;LSG-NO^P_PRICE_AVG(1/1/2017,12/31/2017,,USD)&lt;/Q&gt;&lt;R&gt;1&lt;/R&gt;&lt;C&gt;1&lt;/C&gt;&lt;D xsi:type="xsd:double"&gt;5.6432195&lt;/D&gt;&lt;/FQL&gt;&lt;FQL&gt;&lt;Q&gt;SALMOCAM-CL^P_PRICE_AVG(1/1/2017,12/31/2017,,USD)&lt;/Q&gt;&lt;R&gt;0&lt;/R&gt;&lt;C&gt;0&lt;/C&gt;&lt;/FQL&gt;&lt;FQL&gt;&lt;Q&gt;AQUA-RU^P_PRICE_AVG(1/1/2017,12/31/2017,,USD)&lt;/Q&gt;&lt;R&gt;1&lt;/R&gt;&lt;C&gt;1&lt;/C&gt;&lt;D xsi:type="xsd:double"&gt;1.9978771&lt;/D&gt;&lt;/FQL&gt;&lt;FQL&gt;&lt;Q&gt;IMOEX-MIC^JULIAN(FG_PRICE(-2AY,0,D).DATES)&lt;/Q&gt;&lt;R&gt;504&lt;/R&gt;&lt;C&gt;1&lt;/C&gt;&lt;D xsi:type="xsd:long"&gt;43707&lt;/D&gt;&lt;D xsi:type="xsd:long"&gt;43710&lt;/D&gt;&lt;D xsi:type="xsd:long"&gt;43711&lt;/D&gt;&lt;D xsi:type="xsd:long"&gt;43712&lt;/D&gt;&lt;D xsi:type="xsd:long"&gt;43713&lt;/D&gt;&lt;D xsi:type="xsd:long"&gt;43714&lt;/D&gt;&lt;D xsi:type="xsd:long"&gt;43717&lt;/D&gt;&lt;D xsi:type="xsd:long"&gt;43718&lt;/D&gt;&lt;D xsi:type="xsd:long"&gt;43719&lt;/D&gt;&lt;D xsi:type="xsd:long"&gt;43720&lt;/D&gt;&lt;D xsi:type="xsd:long"&gt;43721&lt;/D&gt;&lt;D xsi:type="xsd:long"&gt;43724&lt;/D&gt;&lt;D xsi:type="xsd:long"&gt;43725&lt;/D&gt;&lt;D xsi:type="xsd:long"&gt;43726&lt;/D&gt;&lt;D xsi:type="xsd:long"&gt;43727&lt;/D&gt;&lt;D xsi:type="xsd:long"&gt;43728&lt;/D&gt;&lt;D xsi:type="xsd:long"&gt;43731&lt;/D&gt;&lt;D xsi:type="xsd:long"&gt;43732&lt;/D&gt;&lt;D xsi:type="xsd:long"&gt;43733&lt;/D&gt;&lt;D xsi:type="xsd:long"&gt;43734&lt;/D&gt;&lt;D xsi:type="xsd:long"&gt;43735&lt;/D&gt;&lt;D xsi:type="xsd:long"&gt;43738&lt;/D&gt;&lt;D xsi:type="xsd:long"&gt;43739&lt;/D&gt;&lt;D xsi:type="xsd:long"&gt;43740&lt;/D&gt;&lt;D xsi:type="xsd:long"&gt;43741&lt;/D&gt;&lt;D xsi:type="xsd:long"&gt;43742&lt;/D&gt;&lt;D xsi:type="xsd:long"&gt;43745&lt;/D&gt;&lt;D xsi:type="xsd:long"&gt;43746&lt;/D&gt;&lt;D xsi:type="xsd:long"&gt;43747&lt;/D&gt;&lt;D xsi:type="xsd:long"&gt;43748&lt;/D&gt;&lt;D xsi:type="xsd:long"&gt;43749&lt;/D&gt;&lt;D xsi:type="xsd:long"&gt;43752&lt;/D&gt;&lt;D xsi:type="xsd:long"&gt;43753&lt;/D&gt;&lt;D xsi:type="xsd:long"&gt;43754&lt;/D&gt;&lt;D xsi:type="xsd:long"&gt;43755&lt;/D&gt;&lt;D xsi:type="xsd:long"&gt;43756&lt;/D&gt;&lt;D xsi:type="xsd:long"&gt;43759&lt;/D&gt;&lt;D xsi:type="xsd:long"&gt;43760&lt;/D&gt;&lt;D xsi:type="xsd:long"&gt;43761&lt;/D&gt;&lt;D xsi:type="xsd:long"&gt;43762&lt;/D&gt;&lt;D xsi:type="xsd:long"&gt;43763&lt;/D&gt;&lt;D xsi:type="xsd:long"&gt;43766&lt;/D&gt;&lt;D xsi:type="xsd:long"&gt;43767&lt;/D&gt;&lt;D xsi:type="xsd:long"&gt;43768&lt;/D&gt;&lt;D xsi:type="xsd:long"&gt;43769&lt;/D&gt;&lt;D xsi:type="xsd:long"&gt;43770&lt;/D&gt;&lt;D xsi:type="xsd:long"&gt;43774&lt;/D&gt;&lt;D xsi:type="xsd:long"&gt;43775&lt;/D&gt;&lt;D xsi:type="xsd:long"&gt;43776&lt;/D&gt;&lt;D xsi:type="xsd:long"&gt;43777&lt;/D&gt;&lt;D xsi:type="xsd:long"&gt;43780&lt;/D&gt;&lt;D xsi:type="xsd:long"&gt;43781&lt;/D&gt;&lt;D xsi:type="xsd:long"&gt;43782&lt;/D&gt;&lt;D xsi:type="xsd:long"&gt;43783&lt;/D&gt;&lt;D xsi:type="xsd:long"&gt;43784&lt;/D&gt;&lt;D xsi:type="xsd:long"&gt;43787&lt;/D&gt;&lt;D xsi:type="xsd:long"&gt;43788&lt;/D&gt;&lt;D xsi:type="xsd:long"&gt;43789&lt;/D&gt;&lt;D xsi:type="xsd:long"&gt;43790&lt;/D&gt;&lt;D xsi:type="xsd:long"&gt;43791&lt;/D&gt;&lt;D xsi:type="xsd:long"&gt;43794&lt;/D&gt;&lt;D xsi:type="xsd:long"&gt;43795&lt;/D&gt;&lt;D xsi:type="xsd:long"&gt;43796&lt;/D&gt;&lt;D xsi:type="xsd:long"&gt;43797&lt;/D&gt;&lt;D xsi:type="xsd:long"&gt;43798&lt;/D&gt;&lt;D xsi:type="xsd:long"&gt;43801&lt;/D&gt;&lt;D xsi:type="xsd:long"&gt;43802&lt;/D&gt;&lt;D xsi:type="xsd:long"&gt;43803&lt;/D&gt;&lt;D xsi:type="xsd:long"&gt;43804&lt;/D&gt;&lt;D xsi:type="xsd:long"&gt;43805&lt;/D&gt;&lt;D xsi:type="xsd:long"&gt;43808&lt;/D&gt;&lt;D xsi:type="xsd:long"&gt;43809&lt;/D&gt;&lt;D xsi:type="xsd:long"&gt;43810&lt;/D&gt;&lt;D xsi:type="xsd:long"&gt;43811&lt;/D&gt;&lt;D xsi:type="xsd:long"&gt;43812&lt;/D&gt;&lt;D xsi:type="xsd:long"&gt;43815&lt;/D&gt;&lt;D xsi:type="xsd:long"&gt;43816&lt;/D&gt;&lt;D xsi:type="xsd:long"&gt;43817&lt;/D&gt;&lt;D xsi:type="xsd:long"&gt;43818&lt;/D&gt;&lt;D xsi:type="xsd:long"&gt;43819&lt;/D&gt;&lt;D xsi:type="xsd:long"&gt;43822&lt;/D&gt;&lt;D xsi:type="xsd:long"&gt;43823&lt;/D&gt;&lt;D xsi:type="xsd:long"&gt;43824&lt;/D&gt;&lt;D xsi:type="xsd:long"&gt;43825&lt;/D&gt;&lt;D xsi:type="xsd:long"&gt;43826&lt;/D&gt;&lt;D xsi:type="xsd:long"&gt;43829&lt;/D&gt;&lt;D xsi:type="xsd:long"&gt;43833&lt;/D&gt;&lt;D xsi:type="xsd:long"&gt;43836&lt;/D&gt;&lt;D xsi:type="xsd:long"&gt;43838&lt;/D&gt;&lt;D xsi:type="xsd:long"&gt;43839&lt;/D&gt;&lt;D xsi:type="xsd:long"&gt;43840&lt;/D&gt;&lt;D xsi:type="xsd:long"&gt;43843&lt;/D&gt;&lt;D xsi:type="xsd:long"&gt;43844&lt;/D&gt;&lt;D xsi:type="xsd:long"&gt;43845&lt;/D&gt;&lt;D xsi:type="xsd:long"&gt;43846&lt;/D&gt;&lt;D xsi:type="xsd:long"&gt;43847&lt;/D&gt;&lt;D xsi:type="xsd:long"&gt;43850&lt;/D&gt;&lt;D xsi:type="xsd:long"&gt;43851&lt;/D&gt;&lt;D xsi:type="xsd:long"&gt;43852&lt;/D&gt;&lt;D xsi:type="xsd:long"&gt;43853&lt;/D&gt;&lt;D xsi:type="xsd:long"&gt;43854&lt;/D&gt;&lt;D xsi:type="xsd:long"&gt;43857&lt;/D&gt;&lt;D xsi:type="xsd:long"&gt;43858&lt;/D&gt;&lt;D xsi:type="xsd:long"&gt;43859&lt;/D&gt;&lt;D xsi:type="xsd:long"&gt;43860&lt;/D&gt;&lt;D xsi:type="xsd:long"&gt;43861&lt;/D&gt;&lt;D xsi:type="xsd:long"&gt;43864&lt;/D&gt;&lt;D xsi:type="xsd:long"&gt;43865&lt;/D&gt;&lt;D xsi:type="xsd:long"&gt;43866&lt;/D&gt;&lt;D xsi:type="xsd:long"&gt;43867&lt;/D&gt;&lt;D xsi:type="xsd:long"&gt;43868&lt;/D&gt;&lt;D xsi:type="xsd:long"&gt;43871&lt;/D&gt;&lt;D xsi:type="xsd:long"&gt;43872&lt;/D&gt;&lt;D xsi:type="xsd:long"&gt;43873&lt;/D&gt;&lt;D xsi:type="xsd:long"&gt;43874&lt;/D&gt;&lt;D xsi:type="xsd:long"&gt;43875&lt;/D&gt;&lt;D xsi:type="xsd:long"&gt;43878&lt;/D&gt;&lt;D xsi:type="xsd:long"&gt;43879&lt;/D&gt;&lt;D xsi:type="xsd:long"&gt;43880&lt;/D&gt;&lt;D xsi:type="xsd:long"&gt;43881&lt;/D&gt;&lt;D xsi:type="xsd:long"&gt;43882&lt;/D&gt;&lt;D xsi:type="xsd:long"&gt;43886&lt;/D&gt;&lt;D xsi:type="xsd:long"&gt;43887&lt;/D&gt;&lt;D xsi:type="xsd:long"&gt;43888&lt;/D&gt;&lt;D xsi:type="xsd:long"&gt;43889&lt;/D&gt;&lt;D xsi:type="xsd:long"&gt;43892&lt;/D&gt;&lt;D xsi:type="xsd:long"&gt;43893&lt;/D&gt;&lt;D xsi:type="xsd:long"&gt;43894&lt;/D&gt;&lt;D xsi:type="xsd:long"&gt;43895&lt;/D&gt;&lt;D xsi:type="xsd:long"&gt;43896&lt;/D&gt;&lt;D xsi:type="xsd:long"&gt;43900&lt;/D&gt;&lt;D xsi:type="xsd:long"&gt;43901&lt;/D&gt;&lt;D xsi:type="xsd:long"&gt;43902&lt;/D&gt;&lt;D xsi:type="xsd:long"&gt;43903&lt;/D&gt;&lt;D xsi:type="xsd:long"&gt;43906&lt;/D&gt;&lt;D xsi:type="xsd:long"&gt;43907&lt;/D&gt;&lt;D xsi:type="xsd:long"&gt;43908&lt;/D&gt;&lt;D xsi:type="xsd:long"&gt;43909&lt;/D&gt;&lt;D xsi:type="xsd:long"&gt;43910&lt;/D&gt;&lt;D xsi:type="xsd:long"&gt;43913&lt;/D&gt;&lt;D xsi:type="xsd:long"&gt;43914&lt;/D&gt;&lt;D xsi:type="xsd:long"&gt;43915&lt;/D&gt;&lt;D xsi:type="xsd:long"&gt;43916&lt;/D&gt;&lt;D xsi:type="xsd:long"&gt;43917&lt;/D&gt;&lt;D xsi:type="xsd:long"&gt;43920&lt;/D&gt;&lt;D xsi:type="xsd:long"&gt;43921&lt;/D&gt;&lt;D xsi:type="xsd:long"&gt;43922&lt;/D&gt;&lt;D xsi:type="xsd:long"&gt;43923&lt;/D&gt;&lt;D xsi:type="xsd:long"&gt;43924&lt;/D&gt;&lt;D xsi:type="xsd:long"&gt;43927&lt;/D&gt;&lt;D xsi:type="xsd:long"&gt;43928&lt;/D&gt;&lt;D xsi:type="xsd:long"&gt;43929&lt;/D&gt;&lt;D xsi:type="xsd:long"&gt;43930&lt;/D&gt;&lt;D xsi:type="xsd:long"&gt;43931&lt;/D&gt;&lt;D xsi:type="xsd:long"&gt;43934&lt;/D&gt;&lt;D xsi:type="xsd:long"&gt;43935&lt;/D&gt;&lt;D xsi:type="xsd:long"&gt;43936&lt;/D&gt;&lt;D xsi:type="xsd:long"&gt;43937&lt;/D&gt;&lt;D xsi:type="xsd:long"&gt;43938&lt;/D&gt;&lt;D xsi:type="xsd:long"&gt;43941&lt;/D&gt;&lt;D xsi:type="xsd:long"&gt;43942&lt;/D&gt;&lt;D xsi:type="xsd:long"&gt;43943&lt;/D&gt;&lt;D xsi:type="xsd:long"&gt;43944&lt;/D&gt;&lt;D xsi:type="xsd:long"&gt;43945&lt;/D&gt;&lt;D xsi:type="xsd:long"&gt;43948&lt;/D&gt;&lt;D xsi:type="xsd:long"&gt;43949&lt;/D&gt;&lt;D xsi:type="xsd:long"&gt;43950&lt;/D&gt;&lt;D xsi:type="xsd:long"&gt;43951&lt;/D&gt;&lt;D xsi:type="xsd:long"&gt;43955&lt;/D&gt;&lt;D xsi:type="xsd:long"&gt;43956&lt;/D&gt;&lt;D xsi:type="xsd:long"&gt;43957&lt;/D&gt;&lt;D xsi:type="xsd:long"&gt;43958&lt;/D&gt;&lt;D xsi:type="xsd:long"&gt;43959&lt;/D&gt;&lt;D xsi:type="xsd:long"&gt;43963&lt;/D&gt;&lt;D xsi:type="xsd:long"&gt;43964&lt;/D&gt;&lt;D xsi:type="xsd:long"&gt;43965&lt;/D&gt;&lt;D xsi:type="xsd:long"&gt;43966&lt;/D&gt;&lt;D xsi:type="xsd:long"&gt;43969&lt;/D&gt;&lt;D xsi:type="xsd:long"&gt;43970&lt;/D&gt;&lt;D xsi:type="xsd:long"&gt;43971&lt;/D&gt;&lt;D xsi:type="xsd:long"&gt;43972&lt;/D&gt;&lt;D xsi:type="xsd:long"&gt;43973&lt;/D&gt;&lt;D xsi:type="xsd:long"&gt;43976&lt;/D&gt;&lt;D xsi:type="xsd:long"&gt;43977&lt;/D&gt;&lt;D xsi:type="xsd:long"&gt;43978&lt;/D&gt;&lt;D xsi:type="xsd:long"&gt;43979&lt;/D&gt;&lt;D xsi:type="xsd:long"&gt;43980&lt;/D&gt;&lt;D xsi:type="xsd:long"&gt;43983&lt;/D&gt;&lt;D xsi:type="xsd:long"&gt;43984&lt;/D&gt;&lt;D xsi:type="xsd:long"&gt;43985&lt;/D&gt;&lt;D xsi:type="xsd:long"&gt;43986&lt;/D&gt;&lt;D xsi:type="xsd:long"&gt;43987&lt;/D&gt;&lt;D xsi:type="xsd:long"&gt;43990&lt;/D&gt;&lt;D xsi:type="xsd:long"&gt;43991&lt;/D&gt;&lt;D xsi:type="xsd:long"&gt;43992&lt;/D&gt;&lt;D xsi:type="xsd:long"&gt;43993&lt;/D&gt;&lt;D xsi:type="xsd:long"&gt;43997&lt;/D&gt;&lt;D xsi:type="xsd:long"&gt;43998&lt;/D&gt;&lt;D xsi:type="xsd:long"&gt;43999&lt;/D&gt;&lt;D xsi:type="xsd:long"&gt;44000&lt;/D&gt;&lt;D xsi:type="xsd:long"&gt;44001&lt;/D&gt;&lt;D xsi:type="xsd:long"&gt;44004&lt;/D&gt;&lt;D xsi:type="xsd:long"&gt;44005&lt;/D&gt;&lt;D xsi:type="xsd:long"&gt;44007&lt;/D&gt;&lt;D xsi:type="xsd:long"&gt;44008&lt;/D&gt;&lt;D xsi:type="xsd:long"&gt;44011&lt;/D&gt;&lt;D xsi:type="xsd:long"&gt;44012&lt;/D&gt;&lt;D xsi:type="xsd:long"&gt;44014&lt;/D&gt;&lt;D xsi:type="xsd:long"&gt;44015&lt;/D&gt;&lt;D xsi:type="xsd:long"&gt;44018&lt;/D&gt;&lt;D xsi:type="xsd:long"&gt;44019&lt;/D&gt;&lt;D xsi:type="xsd:long"&gt;44020&lt;/D&gt;&lt;D xsi:type="xsd:long"&gt;44021&lt;/D&gt;&lt;D xsi:type="xsd:long"&gt;44022&lt;/D&gt;&lt;D xsi:type="xsd:long"&gt;44025&lt;/D&gt;&lt;D xsi:type="xsd:long"&gt;44026&lt;/D&gt;&lt;D xsi:type="xsd:long"&gt;44027&lt;/D&gt;&lt;D xsi:type="xsd:long"&gt;44028&lt;/D&gt;&lt;D xsi:type="xsd:long"&gt;44029&lt;/D&gt;&lt;D xsi:type="xsd:long"&gt;44032&lt;/D&gt;&lt;D xsi:type="xsd:long"&gt;44033&lt;/D&gt;&lt;D xsi:type="xsd:long"&gt;44034&lt;/D&gt;&lt;D xsi:type="xsd:long"&gt;44035&lt;/D&gt;&lt;D xsi:type="xsd:long"&gt;44036&lt;/D&gt;&lt;D xsi:type="xsd:long"&gt;44039&lt;/D&gt;&lt;D xsi:type="xsd:long"&gt;44040&lt;/D&gt;&lt;D xsi:type="xsd:long"&gt;44041&lt;/D&gt;&lt;D xsi:type="xsd:long"&gt;44042&lt;/D&gt;&lt;D xsi:type="xsd:long"&gt;44043&lt;/D&gt;&lt;D xsi:type="xsd:long"&gt;44046&lt;/D&gt;&lt;D xsi:type="xsd:long"&gt;44047&lt;/D&gt;&lt;D xsi:type="xsd:long"&gt;44048&lt;/D&gt;&lt;D xsi:type="xsd:long"&gt;44049&lt;/D&gt;&lt;D xsi:type="xsd:long"&gt;44050&lt;/D&gt;&lt;D xsi:type="xsd:long"&gt;44053&lt;/D&gt;&lt;D xsi:type="xsd:long"&gt;44054&lt;/D&gt;&lt;D xsi:type="xsd:long"&gt;44055&lt;/D&gt;&lt;D xsi:type="xsd:long"&gt;44056&lt;/D&gt;&lt;D xsi:type="xsd:long"&gt;44057&lt;/D&gt;&lt;D xsi:type="xsd:long"&gt;44060&lt;/D&gt;&lt;D xsi:type="xsd:long"&gt;44061&lt;/D&gt;&lt;D xsi:type="xsd:long"&gt;44062&lt;/D&gt;&lt;D xsi:type="xsd:long"&gt;44063&lt;/D&gt;&lt;D xsi:type="xsd:long"&gt;44064&lt;/D&gt;&lt;D xsi:type="xsd:long"&gt;44067&lt;/D&gt;&lt;D xsi:type="xsd:long"&gt;44068&lt;/D&gt;&lt;D xsi:type="xsd:long"&gt;44069&lt;/D&gt;&lt;D xsi:type="xsd:long"&gt;44070&lt;/D&gt;&lt;D xsi:type="xsd:long"&gt;44071&lt;/D&gt;&lt;D xsi:type="xsd:long"&gt;44074&lt;/D&gt;&lt;D xsi:type="xsd:long"&gt;44075&lt;/D&gt;&lt;D xsi:type="xsd:long"&gt;44076&lt;/D&gt;&lt;D xsi:type="xsd:long"&gt;44077&lt;/D&gt;&lt;D xsi:type="xsd:long"&gt;44078&lt;/D&gt;&lt;D xsi:type="xsd:long"&gt;44081&lt;/D&gt;&lt;D xsi:type="xsd:long"&gt;44082&lt;/D&gt;&lt;D xsi:type="xsd:long"&gt;44083&lt;/D&gt;&lt;D xsi:type="xsd:long"&gt;44084&lt;/D&gt;&lt;D xsi:type="xsd:long"&gt;44085&lt;/D&gt;&lt;D xsi:type="xsd:long"&gt;44088&lt;/D&gt;&lt;D xsi:type="xsd:long"&gt;44089&lt;/D&gt;&lt;D xsi:type="xsd:long"&gt;44090&lt;/D&gt;&lt;D xsi:type="xsd:long"&gt;44091&lt;/D&gt;&lt;D xsi:type="xsd:long"&gt;44092&lt;/D&gt;&lt;D xsi:type="xsd:long"&gt;44095&lt;/D&gt;&lt;D xsi:type="xsd:long"&gt;44096&lt;/D&gt;&lt;D xsi:type="xsd:long"&gt;44097&lt;/D&gt;&lt;D xsi:type="xsd:long"&gt;44098&lt;/D&gt;&lt;D xsi:type="xsd:long"&gt;44099&lt;/D&gt;&lt;D xsi:type="xsd:long"&gt;44102&lt;/D&gt;&lt;D xsi:type="xsd:long"&gt;44103&lt;/D&gt;&lt;D xsi:type="xsd:long"&gt;44104&lt;/D&gt;&lt;D xsi:type="xsd:long"&gt;44105&lt;/D&gt;&lt;D xsi:type="xsd:long"&gt;44106&lt;/D&gt;&lt;D xsi:type="xsd:long"&gt;44109&lt;/D&gt;&lt;D xsi:type="xsd:long"&gt;44110&lt;/D&gt;&lt;D xsi:type="xsd:long"&gt;44111&lt;/D&gt;&lt;D xsi:type="xsd:long"&gt;44112&lt;/D&gt;&lt;D xsi:type="xsd:long"&gt;44113&lt;/D&gt;&lt;D xsi:type="xsd:long"&gt;44116&lt;/D&gt;&lt;D xsi:type="xsd:long"&gt;44117&lt;/D&gt;&lt;D xsi:type="xsd:long"&gt;44118&lt;/D&gt;&lt;D xsi:type="xsd:long"&gt;44119&lt;/D&gt;&lt;D xsi:type="xsd:long"&gt;44120&lt;/D&gt;&lt;D xsi:type="xsd:long"&gt;44123&lt;/D&gt;&lt;D xsi:type="xsd:long"&gt;44124&lt;/D&gt;&lt;D xsi:type="xsd:long"&gt;44125&lt;/D&gt;&lt;D xsi:type="xsd:long"&gt;44126&lt;/D&gt;&lt;D xsi:type="xsd:long"&gt;44127&lt;/D&gt;&lt;D xsi:type="xsd:long"&gt;44130&lt;/D&gt;&lt;D xsi:type="xsd:long"&gt;44131&lt;/D&gt;&lt;D xsi:type="xsd:long"&gt;44132&lt;/D&gt;&lt;D xsi:type="xsd:long"&gt;44133&lt;/D&gt;&lt;D xsi:type="xsd:long"&gt;44134&lt;/D&gt;&lt;D xsi:type="xsd:long"&gt;44137&lt;/D&gt;&lt;D xsi:type="xsd:long"&gt;44138&lt;/D&gt;&lt;D xsi:type="xsd:long"&gt;44140&lt;/D&gt;&lt;D xsi:type="xsd:long"&gt;44141&lt;/D&gt;&lt;D xsi:type="xsd:long"&gt;44144&lt;/D&gt;&lt;D xsi:type="xsd:long"&gt;44145&lt;/D&gt;&lt;D xsi:type="xsd:long"&gt;44146&lt;/D&gt;&lt;D xsi:type="xsd:long"&gt;44147&lt;/D&gt;&lt;D xsi:type="xsd:long"&gt;44148&lt;/D&gt;&lt;D xsi:type="xsd:long"&gt;44151&lt;/D&gt;&lt;D xsi:type="xsd:long"&gt;44152&lt;/D&gt;&lt;D xsi:type="xsd:long"&gt;44153&lt;/D&gt;&lt;D xsi:type="xsd:long"&gt;44154&lt;/D&gt;&lt;D xsi:type="xsd:long"&gt;44155&lt;/D&gt;&lt;D xsi:type="xsd:long"&gt;44158&lt;/D&gt;&lt;D xsi:type="xsd:long"&gt;44159&lt;/D&gt;&lt;D xsi:type="xsd:long"&gt;44160&lt;/D&gt;&lt;D xsi:type="xsd:long"&gt;44161&lt;/D&gt;&lt;D xsi:type="xsd:long"&gt;44162&lt;/D&gt;&lt;D xsi:type="xsd:long"&gt;44165&lt;/D&gt;&lt;D xsi:type="xsd:long"&gt;44166&lt;/D&gt;&lt;D xsi:type="xsd:long"&gt;44167&lt;/D&gt;&lt;D xsi:type="xsd:long"&gt;44168&lt;/D&gt;&lt;D xsi:type="xsd:long"&gt;44169&lt;/D&gt;&lt;D xsi:type="xsd:long"&gt;44172&lt;/D&gt;&lt;D xsi:type="xsd:long"&gt;44173&lt;/D&gt;&lt;D xsi:type="xsd:long"&gt;44174&lt;/D&gt;&lt;D xsi:type="xsd:long"&gt;44175&lt;/D&gt;&lt;D xsi:type="xsd:long"&gt;44176&lt;/D&gt;&lt;D xsi:type="xsd:long"&gt;44179&lt;/D&gt;&lt;D xsi:type="xsd:long"&gt;44180&lt;/D&gt;&lt;D xsi:type="xsd:long"&gt;44181&lt;/D&gt;&lt;D xsi:type="xsd:long"&gt;44182&lt;/D&gt;&lt;D xsi:type="xsd:long"&gt;44183&lt;/D&gt;&lt;D xsi:type="xsd:long"&gt;44186&lt;/D&gt;&lt;D xsi:type="xsd:long"&gt;44187&lt;/D&gt;&lt;D xsi:type="xsd:long"&gt;44188&lt;/D&gt;&lt;D xsi:type="xsd:long"&gt;44189&lt;/D&gt;&lt;D xsi:type="xsd:long"&gt;44190&lt;/D&gt;&lt;D xsi:type="xsd:long"&gt;44193&lt;/D&gt;&lt;D xsi:type="xsd:long"&gt;44194&lt;/D&gt;&lt;D xsi:type="xsd:long"&gt;44195&lt;/D&gt;&lt;D xsi:type="xsd:long"&gt;44200&lt;/D&gt;&lt;D xsi:type="xsd:long"&gt;44201&lt;/D&gt;&lt;D xsi:type="xsd:long"&gt;44202&lt;/D&gt;&lt;D xsi:type="xsd:long"&gt;44204&lt;/D&gt;&lt;D xsi:type="xsd:long"&gt;44207&lt;/D&gt;&lt;D xsi:type="xsd:long"&gt;44208&lt;/D&gt;&lt;D xsi:type="xsd:long"&gt;44209&lt;/D&gt;&lt;D xsi:type="xsd:long"&gt;44210&lt;/D&gt;&lt;D xsi:type="xsd:long"&gt;44211&lt;/D&gt;&lt;D xsi:type="xsd:long"&gt;44214&lt;/D&gt;&lt;D xsi:type="xsd:long"&gt;44215&lt;/D&gt;&lt;D xsi:type="xsd:long"&gt;44216&lt;/D&gt;&lt;D xsi:type="xsd:long"&gt;44217&lt;/D&gt;&lt;D xsi:type="xsd:long"&gt;44218&lt;/D&gt;&lt;D xsi:type="xsd:long"&gt;44221&lt;/D&gt;&lt;D xsi:type="xsd:long"&gt;44222&lt;/D&gt;&lt;D xsi:type="xsd:long"&gt;44223&lt;/D&gt;&lt;D xsi:type="xsd:long"&gt;44224&lt;/D&gt;&lt;D xsi:type="xsd:long"&gt;44225&lt;/D&gt;&lt;D xsi:type="xsd:long"&gt;44228&lt;/D&gt;&lt;D xsi:type="xsd:long"&gt;44229&lt;/D&gt;&lt;D xsi:type="xsd:long"&gt;44230&lt;/D&gt;&lt;D xsi:type="xsd:long"&gt;44231&lt;/D&gt;&lt;D xsi:type="xsd:long"&gt;44232&lt;/D&gt;&lt;D xsi:type="xsd:long"&gt;44235&lt;/D&gt;&lt;D xsi:type="xsd:long"&gt;44236&lt;/D&gt;&lt;D xsi:type="xsd:long"&gt;44237&lt;/D&gt;&lt;D xsi:type="xsd:long"&gt;44238&lt;/D&gt;&lt;D xsi:type="xsd:long"&gt;44239&lt;/D&gt;&lt;D xsi:type="xsd:long"&gt;44242&lt;/D&gt;&lt;D xsi:type="xsd:long"&gt;44243&lt;/D&gt;&lt;D xsi:type="xsd:long"&gt;44244&lt;/D&gt;&lt;D xsi:type="xsd:long"&gt;44245&lt;/D&gt;&lt;D xsi:type="xsd:long"&gt;44246&lt;/D&gt;&lt;D xsi:type="xsd:long"&gt;44249&lt;/D&gt;&lt;D xsi:type="xsd:long"&gt;44251&lt;/D&gt;&lt;D xsi:type="xsd:long"&gt;44252&lt;/D&gt;&lt;D xsi:type="xsd:long"&gt;44253&lt;/D&gt;&lt;D xsi:type="xsd:long"&gt;44256&lt;/D&gt;&lt;D xsi:type="xsd:long"&gt;44257&lt;/D&gt;&lt;D xsi:type="xsd:long"&gt;44258&lt;/D&gt;&lt;D xsi:type="xsd:long"&gt;44259&lt;/D&gt;&lt;D xsi:type="xsd:long"&gt;44260&lt;/D&gt;&lt;D xsi:type="xsd:long"&gt;44264&lt;/D&gt;&lt;D xsi:type="xsd:long"&gt;44265&lt;/D&gt;&lt;D xsi:type="xsd:long"&gt;44266&lt;/D&gt;&lt;D xsi:type="xsd:long"&gt;44267&lt;/D&gt;&lt;D xsi:type="xsd:long"&gt;44270&lt;/D&gt;&lt;D xsi:type="xsd:long"&gt;44271&lt;/D&gt;&lt;D xsi:type="xsd:long"&gt;44272&lt;/D&gt;&lt;D xsi:type="xsd:long"&gt;44273&lt;/D&gt;&lt;D xsi:type="xsd:long"&gt;44274&lt;/D&gt;&lt;D xsi:type="xsd:long"&gt;44277&lt;/D&gt;&lt;D xsi:type="xsd:long"&gt;44278&lt;/D&gt;&lt;D xsi:type="xsd:long"&gt;44279&lt;/D&gt;&lt;D xsi:type="xsd:long"&gt;44280&lt;/D&gt;&lt;D xsi:type="xsd:long"&gt;44281&lt;/D&gt;&lt;D xsi:type="xsd:long"&gt;44284&lt;/D&gt;&lt;D xsi:type="xsd:long"&gt;44285&lt;/D&gt;&lt;D xsi:type="xsd:long"&gt;44286&lt;/D&gt;&lt;D xsi:type="xsd:long"&gt;44287&lt;/D&gt;&lt;D xsi:type="xsd:long"&gt;44288&lt;/D&gt;&lt;D xsi:type="xsd:long"&gt;44291&lt;/D&gt;&lt;D xsi:type="xsd:long"&gt;44292&lt;/D&gt;&lt;D xsi:type="xsd:long"&gt;44293&lt;/D&gt;&lt;D xsi:type="xsd:long"&gt;44294&lt;/D&gt;&lt;D xsi:type="xsd:long"&gt;44295&lt;/D&gt;&lt;D xsi:type="xsd:long"&gt;44298&lt;/D&gt;&lt;D xsi:type="xsd:long"&gt;44299&lt;/D&gt;&lt;D xsi:type="xsd:long"&gt;44300&lt;/D&gt;&lt;D xsi:type="xsd:long"&gt;44301&lt;/D&gt;&lt;D xsi:type="xsd:long"&gt;44302&lt;/D&gt;&lt;D xsi:type="xsd:long"&gt;44305&lt;/D&gt;&lt;D xsi:type="xsd:long"&gt;44306&lt;/D&gt;&lt;D xsi:type="xsd:long"&gt;44307&lt;/D&gt;&lt;D xsi:type="xsd:long"&gt;44308&lt;/D&gt;&lt;D xsi:type="xsd:long"&gt;44309&lt;/D&gt;&lt;D xsi:type="xsd:long"&gt;44312&lt;/D&gt;&lt;D xsi:type="xsd:long"&gt;44313&lt;/D&gt;&lt;D xsi:type="xsd:long"&gt;44314&lt;/D&gt;&lt;D xsi:type="xsd:long"&gt;44315&lt;/D&gt;&lt;D xsi:type="xsd:long"&gt;44316&lt;/D&gt;&lt;D xsi:type="xsd:long"&gt;44320&lt;/D&gt;&lt;D xsi:type="xsd:long"&gt;44321&lt;/D&gt;&lt;D xsi:type="xsd:long"&gt;44322&lt;/D&gt;&lt;D xsi:type="xsd:long"&gt;44323&lt;/D&gt;&lt;D xsi:type="xsd:long"&gt;44326&lt;/D&gt;&lt;D xsi:type="xsd:long"&gt;44327&lt;/D&gt;&lt;D xsi:type="xsd:long"&gt;44328&lt;/D&gt;&lt;D xsi:type="xsd:long"&gt;44329&lt;/D&gt;&lt;D xsi:type="xsd:long"&gt;44330&lt;/D&gt;&lt;D xsi:type="xsd:long"&gt;44333&lt;/D&gt;&lt;D xsi:type="xsd:long"&gt;44334&lt;/D&gt;&lt;D xsi:type="xsd:long"&gt;44335&lt;/D&gt;&lt;D xsi:type="xsd:long"&gt;44336&lt;/D&gt;&lt;D xsi:type="xsd:long"&gt;44337&lt;/D&gt;&lt;D xsi:type="xsd:long"&gt;44340&lt;/D&gt;&lt;D xsi:type="xsd:long"&gt;44341&lt;/D&gt;&lt;D xsi:type="xsd:long"&gt;44342&lt;/D&gt;&lt;D xsi:type="xsd:long"&gt;44343&lt;/D&gt;&lt;D xsi:type="xsd:long"&gt;44344&lt;/D&gt;&lt;D xsi:type="xsd:long"&gt;44347&lt;/D&gt;&lt;D xsi:type="xsd:long"&gt;44348&lt;/D&gt;&lt;D xsi:type="xsd:long"&gt;44349&lt;/D&gt;&lt;D xsi:type="xsd:long"&gt;44350&lt;/D&gt;&lt;D xsi:type="xsd:long"&gt;44351&lt;/D&gt;&lt;D xsi:type="xsd:long"&gt;44354&lt;/D&gt;&lt;D xsi:type="xsd:long"&gt;44355&lt;/D&gt;&lt;D xsi:type="xsd:long"&gt;44356&lt;/D&gt;&lt;D xsi:type="xsd:long"&gt;44357&lt;/D&gt;&lt;D xsi:type="xsd:long"&gt;44358&lt;/D&gt;&lt;D xsi:type="xsd:long"&gt;44361&lt;/D&gt;&lt;D xsi:type="xsd:long"&gt;44362&lt;/D&gt;&lt;D xsi:type="xsd:long"&gt;44363&lt;/D&gt;&lt;D xsi:type="xsd:long"&gt;44364&lt;/D&gt;&lt;D xsi:type="xsd:long"&gt;44365&lt;/D&gt;&lt;D xsi:type="xsd:long"&gt;44368&lt;/D&gt;&lt;D xsi:type="xsd:long"&gt;44369&lt;/D&gt;&lt;D xsi:type="xsd:long"&gt;44370&lt;/D&gt;&lt;D xsi:type="xsd:long"&gt;44371&lt;/D&gt;&lt;D xsi:type="xsd:long"&gt;44372&lt;/D&gt;&lt;D xsi:type="xsd:long"&gt;44375&lt;/D&gt;&lt;D xsi:type="xsd:long"&gt;44376&lt;/D&gt;&lt;D xsi:type="xsd:long"&gt;44377&lt;/D&gt;&lt;D xsi:type="xsd:long"&gt;44378&lt;/D&gt;&lt;D xsi:type="xsd:long"&gt;44379&lt;/D&gt;&lt;D xsi:type="xsd:long"&gt;44382&lt;/D&gt;&lt;D xsi:type="xsd:long"&gt;44383&lt;/D&gt;&lt;D xsi:type="xsd:long"&gt;44384&lt;/D&gt;&lt;D xsi:type="xsd:long"&gt;44385&lt;/D&gt;&lt;D xsi:type="xsd:long"&gt;44386&lt;/D&gt;&lt;D xsi:type="xsd:long"&gt;44389&lt;/D&gt;&lt;D xsi:type="xsd:long"&gt;44390&lt;/D&gt;&lt;D xsi:type="xsd:long"&gt;44391&lt;/D&gt;&lt;D xsi:type="xsd:long"&gt;44392&lt;/D&gt;&lt;D xsi:type="xsd:long"&gt;44393&lt;/D&gt;&lt;D xsi:type="xsd:long"&gt;44396&lt;/D&gt;&lt;D xsi:type="xsd:long"&gt;44397&lt;/D&gt;&lt;D xsi:type="xsd:long"&gt;44398&lt;/D&gt;&lt;D xsi:type="xsd:long"&gt;44399&lt;/D&gt;&lt;D xsi:type="xsd:long"&gt;44400&lt;/D&gt;&lt;D xsi:type="xsd:long"&gt;44403&lt;/D&gt;&lt;D xsi:type="xsd:long"&gt;44404&lt;/D&gt;&lt;D xsi:type="xsd:long"&gt;44405&lt;/D&gt;&lt;D xsi:type="xsd:long"&gt;44406&lt;/D&gt;&lt;D xsi:type="xsd:long"&gt;44407&lt;/D&gt;&lt;D xsi:type="xsd:long"&gt;44410&lt;/D&gt;&lt;D xsi:type="xsd:long"&gt;44411&lt;/D&gt;&lt;D xsi:type="xsd:long"&gt;44412&lt;/D&gt;&lt;D xsi:type="xsd:long"&gt;44413&lt;/D&gt;&lt;D xsi:type="xsd:long"&gt;44414&lt;/D&gt;&lt;D xsi:type="xsd:long"&gt;44417&lt;/D&gt;&lt;D xsi:type="xsd:long"&gt;44418&lt;/D&gt;&lt;D xsi:type="xsd:long"&gt;44419&lt;/D&gt;&lt;D xsi:type="xsd:long"&gt;44420&lt;/D&gt;&lt;D xsi:type="xsd:long"&gt;44421&lt;/D&gt;&lt;D xsi:type="xsd:long"&gt;44424&lt;/D&gt;&lt;D xsi:type="xsd:long"&gt;44425&lt;/D&gt;&lt;D xsi:type="xsd:long"&gt;44426&lt;/D&gt;&lt;D xsi:type="xsd:long"&gt;44427&lt;/D&gt;&lt;D xsi:type="xsd:long"&gt;44428&lt;/D&gt;&lt;D xsi:type="xsd:long"&gt;44431&lt;/D&gt;&lt;D xsi:type="xsd:long"&gt;44432&lt;/D&gt;&lt;D xsi:type="xsd:long"&gt;44433&lt;/D&gt;&lt;D xsi:type="xsd:long"&gt;44434&lt;/D&gt;&lt;D xsi:type="xsd:long"&gt;44435&lt;/D&gt;&lt;D xsi:type="xsd:long"&gt;44438&lt;/D&gt;&lt;D xsi:type="xsd:long"&gt;44439&lt;/D&gt;&lt;/FQL&gt;&lt;FQL&gt;&lt;Q&gt;IMOEX-MIC^FORMULA_DESCRIPTION("FG_PRICE")&lt;/Q&gt;&lt;R&gt;1&lt;/R&gt;&lt;C&gt;1&lt;/C&gt;&lt;D xsi:type="xsd:string"&gt;Price&lt;/D&gt;&lt;/FQL&gt;&lt;FQL&gt;&lt;Q&gt;IMOEX-MIC^FG_PRICE(-2AY,0,D)&lt;/Q&gt;&lt;R&gt;504&lt;/R&gt;&lt;C&gt;1&lt;/C&gt;&lt;D xsi:type="xsd:double"&gt;2740.04&lt;/D&gt;&lt;D xsi:type="xsd:double"&gt;2773.01&lt;/D&gt;&lt;D xsi:type="xsd:double"&gt;2774.2&lt;/D&gt;&lt;D xsi:type="xsd:double"&gt;2793.36&lt;/D&gt;&lt;D xsi:type="xsd:double"&gt;2807.06&lt;/D&gt;&lt;D xsi:type="xsd:double"&gt;2797.55&lt;/D&gt;&lt;D xsi:type="xsd:double"&gt;2786.63&lt;/D&gt;&lt;D xsi:type="xsd:double"&gt;2787.52&lt;/D&gt;&lt;D xsi:type="xsd:double"&gt;2817.05&lt;/D&gt;&lt;D xsi:type="xsd:double"&gt;2799.99&lt;/D&gt;&lt;D xsi:type="xsd:double"&gt;2791.74&lt;/D&gt;&lt;D xsi:type="xsd:double"&gt;2834.32&lt;/D&gt;&lt;D xsi:type="xsd:double"&gt;2820.86&lt;/D&gt;&lt;D xsi:type="xsd:double"&gt;2818.6&lt;/D&gt;&lt;D xsi:type="xsd:double"&gt;2794.77&lt;/D&gt;&lt;D xsi:type="xsd:double"&gt;2796.41&lt;/D&gt;&lt;D xsi:type="xsd:double"&gt;2785.46&lt;/D&gt;&lt;D xsi:type="xsd:double"&gt;2754.53&lt;/D&gt;&lt;D xsi:type="xsd:double"&gt;2760.29&lt;/D&gt;&lt;D xsi:type="xsd:double"&gt;2772.7&lt;/D&gt;&lt;D xsi:type="xsd:double"&gt;2757.98&lt;/D&gt;&lt;D xsi:type="xsd:double"&gt;2747.18&lt;/D&gt;&lt;D xsi:type="xsd:double"&gt;2758.83&lt;/D&gt;&lt;D xsi:type="xsd:double"&gt;2719.39&lt;/D&gt;&lt;D xsi:type="xsd:double"&gt;2707.47&lt;/D&gt;&lt;D xsi:type="xsd:double"&gt;2692.55&lt;/D&gt;&lt;D xsi:type="xsd:double"&gt;2719.22&lt;/D&gt;&lt;D xsi:type="xsd:double"&gt;2707.89&lt;/D&gt;&lt;D xsi:type="xsd:double"&gt;2713.02&lt;/D&gt;&lt;D xsi:type="xsd:double"&gt;2721.51&lt;/D&gt;&lt;D xsi:type="xsd:double"&gt;2708.07&lt;/D&gt;&lt;D xsi:type="xsd:double"&gt;2697.46&lt;/D&gt;&lt;D xsi:type="xsd:double"&gt;2715.26&lt;/D&gt;&lt;D xsi:type="xsd:double"&gt;2744.35&lt;/D&gt;&lt;D xsi:type="xsd:double"&gt;2748.64&lt;/D&gt;&lt;D xsi:type="xsd:double"&gt;2752.91&lt;/D&gt;&lt;D xsi:type="xsd:double"&gt;2761.15&lt;/D&gt;&lt;D xsi:type="xsd:double"&gt;2802.23&lt;/D&gt;&lt;D xsi:type="xsd:double"&gt;2821.58&lt;/D&gt;&lt;D xsi:type="xsd:double"&gt;2877.05&lt;/D&gt;&lt;D xsi:type="xsd:double"&gt;2873.41&lt;/D&gt;&lt;D xsi:type="xsd:double"&gt;2856.91&lt;/D&gt;&lt;D xsi:type="xsd:double"&gt;2886.48&lt;/D&gt;&lt;D xsi:type="xsd:double"&gt;2911.15&lt;/D&gt;&lt;D xsi:type="xsd:double"&gt;2893.98&lt;/D&gt;&lt;D xsi:type="xsd:double"&gt;2930.4&lt;/D&gt;&lt;D xsi:type="xsd:double"&gt;2949.55&lt;/D&gt;&lt;D xsi:type="xsd:double"&gt;2980.84&lt;/D&gt;&lt;D xsi:type="xsd:double"&gt;3008.54&lt;/D&gt;&lt;D xsi:type="xsd:double"&gt;2973.19&lt;/D&gt;&lt;D xsi:type="xsd:double"&gt;2961.46&lt;/D&gt;&lt;D xsi:type="xsd:double"&gt;2951.16&lt;/D&gt;&lt;D xsi:type="xsd:double"&gt;2933.89&lt;/D&gt;&lt;D xsi:type="xsd:double"&gt;2922.45&lt;/D&gt;&lt;D xsi:type="xsd:double"&gt;2934.82&lt;/D&gt;&lt;D xsi:type="xsd:double"&gt;2924.48&lt;/D&gt;&lt;D xsi:type="xsd:double"&gt;2941.69&lt;/D&gt;&lt;D xsi:type="xsd:double"&gt;2936.47&lt;/D&gt;&lt;D xsi:type="xsd:double"&gt;2942.6&lt;/D&gt;&lt;D xsi:type="xsd:double"&gt;2947.68&lt;/D&gt;&lt;D xsi:type="xsd:double"&gt;2955.32&lt;/D&gt;&lt;D xsi:type="xsd:double"&gt;2930.62&lt;/D&gt;&lt;D xsi:type="xsd:double"&gt;2929.05&lt;/D&gt;&lt;D xsi:type="xsd:double"&gt;2927.57&lt;/D&gt;&lt;D xsi:type="xsd:double"&gt;2935.37&lt;/D&gt;&lt;D xsi:type="xsd:double"&gt;2921.18&lt;/D&gt;&lt;D xsi:type="xsd:double"&gt;2883.48&lt;/D&gt;&lt;D xsi:type="xsd:double"&gt;2900.66&lt;/D&gt;&lt;D xsi:type="xsd:double"&gt;2899.29&lt;/D&gt;&lt;D xsi:type="xsd:double"&gt;2928.76&lt;/D&gt;&lt;D xsi:type="xsd:double"&gt;2945.03&lt;/D&gt;&lt;D xsi:type="xsd</t>
        </r>
      </text>
    </comment>
    <comment ref="A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:double"&gt;2932.4&lt;/D&gt;&lt;D xsi:type="xsd:double"&gt;2954.4&lt;/D&gt;&lt;D xsi:type="xsd:double"&gt;2982.86&lt;/D&gt;&lt;D xsi:type="xsd:double"&gt;2996.63&lt;/D&gt;&lt;D xsi:type="xsd:double"&gt;3006.16&lt;/D&gt;&lt;D xsi:type="xsd:double"&gt;3013.29&lt;/D&gt;&lt;D xsi:type="xsd:double"&gt;3023.92&lt;/D&gt;&lt;D xsi:type="xsd:double"&gt;3008.39&lt;/D&gt;&lt;D xsi:type="xsd:double"&gt;3015.93&lt;/D&gt;&lt;D xsi:type="xsd:double"&gt;3033.81&lt;/D&gt;&lt;D xsi:type="xsd:double"&gt;3030.59&lt;/D&gt;&lt;D xsi:type="xsd:double"&gt;3030.84&lt;/D&gt;&lt;D xsi:type="xsd:double"&gt;3031.67&lt;/D&gt;&lt;D xsi:type="xsd:double"&gt;3050.47&lt;/D&gt;&lt;D xsi:type="xsd:double"&gt;3045.87&lt;/D&gt;&lt;D xsi:type="xsd:double"&gt;3076.37&lt;/D&gt;&lt;D xsi:type="xsd:double"&gt;3078.87&lt;/D&gt;&lt;D xsi:type="xsd:double"&gt;3110.06&lt;/D&gt;&lt;D xsi:type="xsd:double"&gt;3118.08&lt;/D&gt;&lt;D xsi:type="xsd:double"&gt;3123.66&lt;/D&gt;&lt;D xsi:type="xsd:double"&gt;3151.69&lt;/D&gt;&lt;D xsi:type="xsd:double"&gt;3129.77&lt;/D&gt;&lt;D xsi:type="xsd:double"&gt;3132.63&lt;/D&gt;&lt;D xsi:type="xsd:double"&gt;3157.23&lt;/D&gt;&lt;D xsi:type="xsd:double"&gt;3196.88&lt;/D&gt;&lt;D xsi:type="xsd:double"&gt;3219.92&lt;/D&gt;&lt;D xsi:type="xsd:double"&gt;3209.22&lt;/D&gt;&lt;D xsi:type="xsd:double"&gt;3174.62&lt;/D&gt;&lt;D xsi:type="xsd:double"&gt;3141.2&lt;/D&gt;&lt;D xsi:type="xsd:double"&gt;3146.2&lt;/D&gt;&lt;D xsi:type="xsd:double"&gt;3085.16&lt;/D&gt;&lt;D xsi:type="xsd:double"&gt;3113.1&lt;/D&gt;&lt;D xsi:type="xsd:double"&gt;3128.8&lt;/D&gt;&lt;D xsi:type="xsd:double"&gt;3108.58&lt;/D&gt;&lt;D xsi:type="xsd:double"&gt;3076.65&lt;/D&gt;&lt;D xsi:type="xsd:double"&gt;3070.84&lt;/D&gt;&lt;D xsi:type="xsd:double"&gt;3097.6&lt;/D&gt;&lt;D xsi:type="xsd:double"&gt;3114.25&lt;/D&gt;&lt;D xsi:type="xsd:double"&gt;3096.68&lt;/D&gt;&lt;D xsi:type="xsd:double"&gt;3087.63&lt;/D&gt;&lt;D xsi:type="xsd:double"&gt;3062.41&lt;/D&gt;&lt;D xsi:type="xsd:double"&gt;3097.58&lt;/D&gt;&lt;D xsi:type="xsd:double"&gt;3122.27&lt;/D&gt;&lt;D xsi:type="xsd:double"&gt;3110.05&lt;/D&gt;&lt;D xsi:type="xsd:double"&gt;3096.88&lt;/D&gt;&lt;D xsi:type="xsd:double"&gt;3110.06&lt;/D&gt;&lt;D xsi:type="xsd:double"&gt;3074.05&lt;/D&gt;&lt;D xsi:type="xsd:double"&gt;3114.57&lt;/D&gt;&lt;D xsi:type="xsd:double"&gt;3125.1&lt;/D&gt;&lt;D xsi:type="xsd:double"&gt;3106.03&lt;/D&gt;&lt;D xsi:type="xsd:double"&gt;3002.68&lt;/D&gt;&lt;D xsi:type="xsd:double"&gt;3017.42&lt;/D&gt;&lt;D xsi:type="xsd:double"&gt;2915.84&lt;/D&gt;&lt;D xsi:type="xsd:double"&gt;2785.08&lt;/D&gt;&lt;D xsi:type="xsd:double"&gt;2765.77&lt;/D&gt;&lt;D xsi:type="xsd:double"&gt;2821.37&lt;/D&gt;&lt;D xsi:type="xsd:double"&gt;2828.01&lt;/D&gt;&lt;D xsi:type="xsd:double"&gt;2816.7&lt;/D&gt;&lt;D xsi:type="xsd:double"&gt;2719.51&lt;/D&gt;&lt;D xsi:type="xsd:double"&gt;2498.94&lt;/D&gt;&lt;D xsi:type="xsd:double"&gt;2492.88&lt;/D&gt;&lt;D xsi:type="xsd:double"&gt;2286.4&lt;/D&gt;&lt;D xsi:type="xsd:double"&gt;2316.38&lt;/D&gt;&lt;D xsi:type="xsd:double"&gt;2266.9&lt;/D&gt;&lt;D xsi:type="xsd:double"&gt;2224.74&lt;/D&gt;&lt;D xsi:type="xsd:double"&gt;2112.64&lt;/D&gt;&lt;D xsi:type="xsd:double"&gt;2275.7&lt;/D&gt;&lt;D xsi:type="xsd:double"&gt;2331.61&lt;/D&gt;&lt;D xsi:type="xsd:double"&gt;2253.35&lt;/D&gt;&lt;D xsi:type="xsd:double"&gt;2415.97&lt;/D&gt;&lt;D xsi:type="xsd:double"&gt;2452.69&lt;/D&gt;&lt;D xsi:type="xsd:double"&gt;2489.97&lt;/D&gt;&lt;D xsi:type="xsd:double"&gt;2401.11&lt;/D&gt;&lt;D xsi:type="xsd:double"&gt;2433.35&lt;/D&gt;&lt;D xsi:type="xsd:double"&gt;2508.81&lt;/D&gt;&lt;D xsi:type="xsd:double"&gt;2473.61&lt;/D&gt;&lt;D xsi:type="xsd:double"&gt;2545.95&lt;/D&gt;&lt;D xsi:type="xsd:double"&gt;2572.23&lt;/D&gt;&lt;D xsi:type="xsd:double"&gt;2622.59&lt;/D&gt;&lt;D xsi:type="xsd:double"&gt;2634.74&lt;/D&gt;&lt;D xsi:type="xsd:double"&gt;2670.12&lt;/D&gt;&lt;D xsi:type="xsd:double"&gt;2701.77&lt;/D&gt;&lt;D xsi:type="xsd:double"&gt;2677.86&lt;/D&gt;&lt;D xsi:type="xsd:double"&gt;2628.85&lt;/D&gt;&lt;D xsi:type="xsd:double"&gt;2631.83&lt;/D&gt;&lt;D xsi:type="xsd:double"&gt;2498.94&lt;/D&gt;&lt;D xsi:type="xsd:double"&gt;2515.05&lt;/D&gt;&lt;D xsi:type="xsd:double"&gt;2534.97&lt;/D&gt;&lt;D xsi:type="xsd:double"&gt;2525.97&lt;/D&gt;&lt;D xsi:type="xsd:double"&gt;2488.02&lt;/D&gt;&lt;D xsi:type="xsd:double"&gt;2573.41&lt;/D&gt;&lt;D xsi:type="xsd:double"&gt;2599.41&lt;/D&gt;&lt;D xsi:type="xsd:double"&gt;2562.03&lt;/D&gt;&lt;D xsi:type="xsd:double"&gt;2570.91&lt;/D&gt;&lt;D xsi:type="xsd:double"&gt;2612.24&lt;/D&gt;&lt;D xsi:type="xsd:double"&gt;2663.14&lt;/D&gt;&lt;D xsi:type="xsd:double"&gt;2650.56&lt;/D&gt;&lt;D xsi:type="xsd:double"&gt;2624.64&lt;/D&gt;&lt;D xsi:type="xsd:double"&gt;2653.51&lt;/D&gt;&lt;D xsi:type="xsd:double"&gt;2632.1&lt;/D&gt;&lt;D xsi:type="xsd:double"&gt;2634&lt;/D&gt;&lt;D xsi:type="xsd:double"&gt;2641.55&lt;/D&gt;&lt;D xsi:type="xsd:double"&gt;2642.04&lt;/D&gt;&lt;D xsi:type="xsd:double"&gt;2604.98&lt;/D&gt;&lt;D xsi:type="xsd:double"&gt;2590.31&lt;/D&gt;&lt;D xsi:type="xsd:double"&gt;2593.91&lt;/D&gt;&lt;D xsi:type="xsd:double"&gt;2694.25&lt;/D&gt;&lt;D xsi:type="xsd:double"&gt;2711.72&lt;/D&gt;&lt;D xsi:type="xsd:double"&gt;2770.79&lt;/D&gt;&lt;D xsi:type="xsd:double"&gt;2718.67&lt;/D&gt;&lt;D xsi:type="xsd:double"&gt;2709.38&lt;/D&gt;&lt;D xsi:type="xsd:double"&gt;2757.93&lt;/D&gt;&lt;D xsi:type="xsd:double"&gt;2754.04&lt;/D&gt;&lt;D xsi:type="xsd:double"&gt;2741.02&lt;/D&gt;&lt;D xsi:type="xsd:double"&gt;2779.98&lt;/D&gt;&lt;D xsi:type="xsd:double"&gt;2734.83&lt;/D&gt;&lt;D xsi:type="xsd:double"&gt;2750.24&lt;/D&gt;&lt;D xsi:type="xsd:double"&gt;2796.51&lt;/D&gt;&lt;D xsi:type="xsd:double"&gt;2831.08&lt;/D&gt;&lt;D xsi:type="xsd:double"&gt;2766.26&lt;/D&gt;&lt;D xsi:type="xsd:double"&gt;2792.74&lt;/D&gt;&lt;D xsi:type="xsd:double"&gt;2796.3&lt;/D&gt;&lt;D xsi:type="xsd:double"&gt;2795.9&lt;/D&gt;&lt;D xsi:type="xsd:double"&gt;2785.18&lt;/D&gt;&lt;D xsi:type="xsd:double"&gt;2743.8&lt;/D&gt;&lt;D xsi:type="xsd:double"&gt;2719.06&lt;/D&gt;&lt;D xsi:type="xsd:double"&gt;2748.3&lt;/D&gt;&lt;D xsi:type="xsd:double"&gt;2740.1&lt;/D&gt;&lt;D xsi:type="xsd:double"&gt;2724.33&lt;/D&gt;&lt;D xsi:type="xsd:double"&gt;2758.67&lt;/D&gt;&lt;D xsi:type="xsd:double"&gt;2763.29&lt;/D&gt;&lt;D xsi:type="xsd:double"&gt;2791.97&lt;/D&gt;&lt;D xsi:type="xsd:double"&gt;2760.75&lt;/D&gt;&lt;D xsi:type="xsd:double"&gt;2761.74&lt;/D&gt;&lt;D xsi:type="xsd:double"&gt;2767.95&lt;/D&gt;&lt;D xsi:type="xsd:double"&gt;2743.2&lt;/D&gt;&lt;D xsi:type="xsd:double"&gt;2788.79&lt;/D&gt;&lt;D xsi:type="xsd:double"&gt;2801.66&lt;/D&gt;&lt;D xsi:type="xsd:double"&gt;2835.18&lt;/D&gt;&lt;D xsi:type="xsd:double"&gt;2825.21&lt;/D&gt;&lt;D xsi:type="xsd:double"&gt;2815.83&lt;/D&gt;&lt;D xsi:type="xsd:double"&gt;2782.43&lt;/D&gt;&lt;D xsi:type="xsd:double"&gt;2800.94&lt;/D&gt;&lt;D xsi:type="xsd:double"&gt;2766.79&lt;/D&gt;&lt;D xsi:type="xsd:double"&gt;2744.54&lt;/D&gt;&lt;D xsi:type="xsd:double"&gt;2747.91&lt;/D&gt;&lt;D xsi:type="xsd:double"&gt;2760.01&lt;/D&gt;&lt;D xsi:type="xsd:double"&gt;2774.79&lt;/D&gt;&lt;D xsi:type="xsd:double"&gt;2802.24&lt;/D&gt;&lt;D xsi:type="xsd:double"&gt;2825.71&lt;/D&gt;&lt;D xsi:type="xsd:double"&gt;2834.65&lt;/D&gt;&lt;D xsi:type="xsd:double"&gt;2851.79&lt;/D&gt;&lt;D xsi:type="xsd:double"&gt;2863.12&lt;/D&gt;&lt;D xsi:type="xsd:double"&gt;2884.88&lt;/D&gt;&lt;D xsi:type="xsd:double"&gt;2895.45&lt;/D&gt;&lt;D xsi:type="xsd:double"&gt;2918.42&lt;/D&gt;&lt;D xsi:type="xsd:double"&gt;2882.63&lt;/D&gt;&lt;D xsi:type="xsd:double"&gt;2911.57&lt;/D&gt;&lt;D xsi:type="xsd:double"&gt;2929.97&lt;/D&gt;&lt;D xsi:type="xsd:double"&gt;2940.46&lt;/D&gt;&lt;D xsi:type="xsd:double"&gt;2992.78&lt;/D&gt;&lt;D xsi:type="xsd:double"&gt;2988.5&lt;/D&gt;&lt;D xsi:type="xsd:double"&gt;2972.35&lt;/D&gt;&lt;D xsi:type="xsd:double"&gt;2960.78&lt;/D&gt;&lt;D xsi:type="xsd:double"&gt;3005.63&lt;/D&gt;&lt;D xsi:type="xsd:double"&gt;3053.99&lt;/D&gt;&lt;D xsi:type="xsd:double"&gt;3080.44&lt;/D&gt;&lt;D xsi:type="xsd:double"&gt;3061.99&lt;/D&gt;&lt;D xsi:type="xsd:double"&gt;3052.46&lt;/D&gt;&lt;D xsi:type="xsd:double"&gt;3050.7&lt;/D&gt;&lt;D xsi:type="xsd:double"&gt;3056.54&lt;/D&gt;&lt;D xsi:type="xsd:double"&gt;2993.69&lt;/D&gt;&lt;D xsi:type="xsd:double"&gt;2995.61&lt;/D&gt;&lt;D xsi:type="xsd:double"&gt;3029.42&lt;/D&gt;&lt;D xsi:type="xsd:double"&gt;3029.05&lt;/D&gt;&lt;D xsi:type="xsd:double"&gt;3051.97&lt;/D&gt;&lt;D xsi:type="xsd:double"&gt;3012.01&lt;/D&gt;&lt;D xsi:type="xsd:double"&gt;2980.17&lt;/D&gt;&lt;D xsi:type="xsd:double"&gt;2966.2&lt;/D&gt;&lt;D xsi:type="xsd:double"&gt;2975&lt;/D&gt;&lt;D xsi:type="xsd:double"&gt;2956.5&lt;/D&gt;&lt;D xsi:type="xsd:double"&gt;2931.92&lt;/D&gt;&lt;D xsi:type="xsd:double"&gt;2921.55&lt;/D&gt;&lt;D xsi:type="xsd:double"&gt;2932.29&lt;/D&gt;&lt;D xsi:type="xsd:double"&gt;2888.79&lt;/D&gt;&lt;D xsi:type="xsd:double"&gt;2876.07&lt;/D&gt;&lt;D xsi:type="xsd:double"&gt;2897.55&lt;/D&gt;&lt;D xsi:type="xsd:double"&gt;2910.51&lt;/D&gt;&lt;D xsi:type="xsd:double"&gt;2928.38&lt;/D&gt;&lt;D xsi:type="xsd:double"&gt;2980.58&lt;/D&gt;&lt;D xsi:type="xsd:double"&gt;2975.01&lt;/D&gt;&lt;D xsi:type="xsd:double"&gt;2971.74&lt;/D&gt;&lt;D xsi:type="xsd:double"&gt;2951.79&lt;/D&gt;&lt;D xsi:type="xsd:double"&gt;2863.67&lt;/D&gt;&lt;D xsi:type="xsd:double"&gt;2884.66&lt;/D&gt;&lt;D xsi:type="xsd:double"&gt;2916.39&lt;/D&gt;&lt;D xsi:type="xsd:double"&gt;2912.76&lt;/D&gt;&lt;D xsi:type="xsd:double"&gt;2896.83&lt;/D&gt;&lt;D xsi:type="xsd:double"&gt;2927.17&lt;/D&gt;&lt;D xsi:type="xsd:double"&gt;2910.12&lt;/D&gt;&lt;D xsi:type="xsd:double"&gt;2905.81&lt;/D&gt;&lt;D xsi:type="xsd:double"&gt;2889.8&lt;/D&gt;&lt;D xsi:type="xsd:double"&gt;2852.42&lt;/D&gt;&lt;D xsi:type="xsd:double"&gt;2881.98&lt;/D&gt;&lt;D xsi:type="xsd:double"&gt;2892.99&lt;/D&gt;&lt;D xsi:type="xsd:double"&gt;2842.58&lt;/D&gt;&lt;D xsi:type="xsd:double"&gt;2846.39&lt;/D&gt;&lt;D xsi:type="xsd:double"&gt;2834.09&lt;/D&gt;&lt;D xsi:type="xsd:double"&gt;2846.14&lt;/D&gt;&lt;D xsi:type="xsd:double"&gt;2829.23&lt;/D&gt;&lt;D xsi:type="xsd:double"&gt;2856.08&lt;/D&gt;&lt;D xsi:type="xsd:double"&gt;2817.29&lt;/D&gt;&lt;D xsi:type="xsd:double"&gt;2799.54&lt;/D&gt;&lt;D xsi:type="xsd:double"&gt;2794.27&lt;/D&gt;&lt;D xsi:type="xsd:double"&gt;2803.06&lt;/D&gt;&lt;D xsi:type="xsd:double"&gt;2786.23&lt;/D&gt;&lt;D xsi:type="xsd:double"&gt;2803.17&lt;/D&gt;&lt;D xsi:type="xsd:double"&gt;2816.7&lt;/D&gt;&lt;D xsi:type="xsd:double"&gt;2785.59&lt;/D&gt;&lt;D xsi:type="xsd:double"&gt;2763.03&lt;/D&gt;&lt;D xsi:type="xsd:double"&gt;2693.46&lt;/D&gt;&lt;D xsi:type="xsd:double"&gt;2709.04&lt;/D&gt;&lt;D xsi:type="xsd:double"&gt;2690.59&lt;/D&gt;&lt;D xsi:type="xsd:double"&gt;2737.54&lt;/D&gt;&lt;D xsi:type="xsd:double"&gt;2786.42&lt;/D&gt;&lt;D xsi:type="xsd:double"&gt;2861.39&lt;/D&gt;&lt;D xsi:type="xsd:double"&gt;2895.62&lt;/D&gt;&lt;D xsi:type="xsd:double"&gt;2987.75&lt;/D&gt;&lt;D xsi:type="xsd:double"&gt;2998.61&lt;/D&gt;&lt;D xsi:type="xsd:double"&gt;3015.03&lt;/D&gt;&lt;D xsi:type="xsd:double"&gt;3025.83&lt;/D&gt;&lt;D xsi:type="xsd:double"&gt;3025.22&lt;/D&gt;&lt;D xsi:type="xsd:double"&gt;3079.74&lt;/D&gt;&lt;D xsi:type="xsd:double"&gt;3052.22&lt;/D&gt;&lt;D xsi:type="xsd:double"&gt;3080.68&lt;/D&gt;&lt;D xsi:type="xsd:double"&gt;3046.49&lt;/D&gt;&lt;D xsi:type="xsd:double"&gt;3051.04&lt;/D&gt;&lt;D xsi:type="xsd:double"&gt;3047.06&lt;/D&gt;&lt;D xsi:type="xsd:double"&gt;3095.84&lt;/D&gt;&lt;D xsi:type="xsd:double"&gt;3134.52&lt;/D&gt;&lt;D xsi:type="xsd:double"&gt;3138.62&lt;/D&gt;&lt;D xsi:type="xsd:double"&gt;3142.68&lt;/D&gt;&lt;D xsi:type="xsd:double"&gt;3107.58&lt;/D&gt;&lt;D xsi:type="xsd:double"&gt;3147.79&lt;/D&gt;&lt;D xsi:type="xsd:double"&gt;3189.61&lt;/D&gt;&lt;D xsi:type="xsd:double"&gt;3162.67&lt;/D&gt;&lt;D xsi:type="xsd:double"&gt;3184.72&lt;/D&gt;&lt;D xsi:type="xsd:double"&gt;3195.08&lt;/D&gt;&lt;D xsi:type="xsd:double"&gt;3179.61&lt;/D&gt;&lt;D xsi:type="xsd:double"&gt;3211.66&lt;/D&gt;&lt;D xsi:type="xsd:double"&gt;3258.31&lt;/D&gt;&lt;D xsi:type="xsd:double"&gt;3276.58&lt;/D&gt;&lt;D xsi:type="xsd:double"&gt;3249.36&lt;/D&gt;&lt;D xsi:type="xsd:double"&gt;3248.11&lt;/D&gt;&lt;D xsi:type="xsd:double"&gt;3269.95&lt;/D&gt;&lt;D xsi:type="xsd:double"&gt;3282.67&lt;/D&gt;&lt;D xsi:type="xsd:double"&gt;3273.75&lt;/D&gt;&lt;D xsi:type="xsd:double"&gt;3186.38&lt;/D&gt;&lt;D xsi:type="xsd:double"&gt;3236.46&lt;/D&gt;&lt;D xsi:type="xsd:double"&gt;3252.1&lt;/D&gt;&lt;D xsi:type="xsd:double"&gt;3236.88&lt;/D&gt;&lt;D xsi:type="xsd:double"&gt;3246.35&lt;/D&gt;&lt;D xsi:type="xsd:double"&gt;3258.95&lt;/D&gt;&lt;D xsi:type="xsd:double"&gt;3274.67&lt;/D&gt;&lt;D xsi:type="xsd:double"&gt;3289.02&lt;/D&gt;&lt;D xsi:type="xsd:double"&gt;3350.51&lt;/D&gt;&lt;D xsi:type="xsd:double"&gt;3359.15&lt;/D&gt;&lt;D xsi:type="xsd:double"&gt;3371.03&lt;/D&gt;&lt;D xsi:type="xsd:double"&gt;3454.82&lt;/D&gt;&lt;D xsi:type="xsd:double"&gt;3482.48&lt;/D&gt;&lt;D xsi:type="xsd:double"&gt;3471.65&lt;/D&gt;&lt;D xsi:type="xsd:double"&gt;3470.26&lt;/D&gt;&lt;D xsi:type="xsd:double"&gt;3490.85&lt;/D&gt;&lt;D xsi:type="xsd:double"&gt;3450.95&lt;/D&gt;&lt;D xsi:type="xsd:double"&gt;3471.92&lt;/D&gt;&lt;D xsi:type="xsd:double"&gt;3443.23&lt;/D&gt;&lt;D xsi:type="xsd:double"&gt;3466.8&lt;/D&gt;&lt;D xsi:type="xsd:double"&gt;3422.67&lt;/D&gt;&lt;D xsi:type="xsd:double"&gt;3382.92&lt;/D&gt;&lt;D xsi:type="xsd:double"&gt;3397.48&lt;/D&gt;&lt;D xsi:type="xsd:double"&gt;3390.76&lt;/D&gt;&lt;D xsi:type="xsd:double"&gt;3343.62&lt;/D&gt;&lt;D xsi:type="xsd:double"&gt;3342.01&lt;/D&gt;&lt;D xsi:type="xsd:double"&gt;3277.08&lt;/D&gt;&lt;D xsi:type="xsd:double"&gt;3291.14&lt;/D&gt;&lt;D xsi:type="xsd:double"&gt;3360.25&lt;/D&gt;&lt;D xsi:type="xsd:double"&gt;3343.46&lt;/D&gt;&lt;D xsi:type="xsd:double"&gt;3372&lt;/D&gt;&lt;D xsi:type="xsd:double"&gt;3392.73&lt;/D&gt;&lt;D xsi:type="xsd:double"&gt;3445.9&lt;/D&gt;&lt;D xsi:type="xsd:double"&gt;3426.86&lt;/D&gt;&lt;D xsi:type="xsd:double"&gt;3399.66&lt;/D&gt;&lt;D xsi:type="xsd:double"&gt;3414.32&lt;/D&gt;&lt;D xsi:type="xsd:double"&gt;3427.08&lt;/D&gt;&lt;D xsi:type="xsd:double"&gt;3481.9&lt;/D&gt;&lt;D xsi:type="xsd:double"&gt;3495.26&lt;/D&gt;&lt;D xsi:type="xsd:double"&gt;3436.8&lt;/D&gt;&lt;D xsi:type="xsd:double"&gt;3400.17&lt;/D&gt;&lt;D xsi:type="xsd:double"&gt;3457.68&lt;/D&gt;&lt;D xsi:type="xsd:double"&gt;3433.93&lt;/D&gt;&lt;D xsi:type="xsd:double"&gt;3385.48&lt;/D&gt;&lt;D xsi:type="xsd:double"&gt;3409.76&lt;/D&gt;&lt;D xsi:type="xsd:double"&gt;3346.64&lt;/D&gt;&lt;D xsi:type="xsd:double"&gt;3386.16&lt;/D&gt;&lt;D xsi:type="xsd:double"&gt;3410.1&lt;/D&gt;&lt;D xsi:type="xsd:double"&gt;3416.04&lt;/D&gt;&lt;D xsi:type="xsd:double"&gt;3397.56&lt;/D&gt;&lt;D xsi:type="xsd:double"&gt;3414.13&lt;/D&gt;&lt;D xsi:type="xsd:double"&gt;3478.72&lt;/D&gt;&lt;D xsi:type="xsd:double"&gt;3463.06&lt;/D&gt;&lt;D xsi:type="xsd:double"&gt;3508.51&lt;/D&gt;&lt;D xsi:type="xsd:double"&gt;3539.5&lt;/D&gt;&lt;D xsi:type="xsd:double"&gt;3584.49&lt;/D&gt;&lt;D xsi:type="xsd:double"&gt;3589.83&lt;/D&gt;&lt;D xsi:type="xsd:double"&gt;3507.91&lt;/D&gt;&lt;D xsi:type="xsd:double"&gt;3504.85&lt;/D&gt;&lt;D xsi:type="xsd:double"&gt;3475.26&lt;/D&gt;&lt;D xsi:type="xsd:double"&gt;3489.07&lt;/D&gt;&lt;D xsi:type="xsd:double"&gt;3467.21&lt;/D&gt;&lt;D xsi:type="xsd:double"&gt;3485.33&lt;/D&gt;&lt;D xsi:type="xsd:double"&gt;3439.3&lt;/D&gt;&lt;D xsi:type="xsd:double"&gt;3489.83&lt;/D&gt;&lt;D xsi:type="xsd:double"&gt;3529.33&lt;/D&gt;&lt;D xsi:type="xsd:double"&gt;3525.23&lt;/D&gt;&lt;D xsi:type="xsd:double"&gt;3541.72&lt;/D&gt;&lt;D xsi:type="xsd:double"&gt;3527.54&lt;/D&gt;&lt;D xsi:type="xsd:double"&gt;3558.22&lt;/D&gt;&lt;D xsi:type="xsd:double"&gt;3524.93&lt;/D&gt;&lt;D xsi:type="xsd:double"&gt;3493.89&lt;/D&gt;&lt;D xsi:type="xsd:double"&gt;3500.34&lt;/D&gt;&lt;D xsi:type="xsd:double"&gt;3507.83&lt;/D&gt;&lt;D xsi:type="xsd:double"&gt;3486.03&lt;/D&gt;&lt;D xsi:type="xsd:double"&gt;3522.65&lt;/D&gt;&lt;D xsi:type="xsd:double"&gt;3526.3&lt;/D&gt;&lt;D xsi:type="xsd:double"&gt;3576.89&lt;/D&gt;&lt;D xsi:type="xsd:double"&gt;3568.51&lt;/D&gt;&lt;D xsi:type="xsd:double"&gt;3598.44&lt;/D&gt;&lt;D xsi:type="xsd:double"&gt;3574.08&lt;/D&gt;&lt;D xsi:type="xsd:double"&gt;3552.41&lt;/D&gt;&lt;D xsi:type="xsd:double"&gt;3561.72&lt;/D&gt;&lt;D xsi:type="xsd:double"&gt;3600.35&lt;/D&gt;&lt;D xsi:type="xsd:double"&gt;3597.17&lt;/D&gt;&lt;D xsi:type="xsd:double"&gt;3610.98&lt;/D&gt;&lt;D xsi:type="xsd:double"&gt;3600.6&lt;/D&gt;&lt;D xsi:type="xsd:double"&gt;3578.12&lt;/D&gt;&lt;D xsi:type="xsd:double"&gt;3571.05&lt;/D&gt;&lt;D xsi:type="xsd:double"&gt;3544&lt;/D&gt;&lt;D xsi:type="xsd:double"&gt;3577.21&lt;/D&gt;&lt;D xsi:type="xsd:double"&gt;3643.56&lt;/D&gt;&lt;D xsi:type="xsd:double"&gt;3658.27&lt;/D&gt;&lt;D xsi:type="xsd:double"&gt;3682.69&lt;/D&gt;&lt;D xsi:type="xsd:double"&gt;3694.78&lt;/D&gt;&lt;D xsi:type="xsd:double"&gt;3652.05&lt;/D&gt;&lt;D xsi:type="xsd:double"&gt;3654.14&lt;/D&gt;&lt;D xsi:type="xsd:double"&gt;3637.38&lt;/D&gt;&lt;D xsi:type="xsd:double"&gt;3637.6&lt;/D&gt;&lt;D xsi:type="xsd:double"&gt;3639.61&lt;/D&gt;&lt;D xsi:type="xsd:double"&gt;3687.96&lt;/D&gt;&lt;D xsi:type="xsd:double"&gt;3634.76&lt;/D&gt;&lt;D xsi:type="xsd:double"&gt;3636.16&lt;/D&gt;&lt;D xsi:type="xsd:double"&gt;3660.48&lt;/D&gt;&lt;D xsi:type="xsd:double"&gt;3662.51&lt;/D&gt;&lt;D xsi:type="xsd:double"&gt;3686.76&lt;/D&gt;&lt;D xsi:type="xsd:double"&gt;3711.05&lt;/D&gt;&lt;D xsi:type="xsd:double"&gt;3738.68&lt;/D&gt;&lt;D xsi:type="xsd:double"&gt;3730.55&lt;/D&gt;&lt;D xsi:type="xsd:double"&gt;3721.63&lt;/D&gt;&lt;D xsi:type="xsd:double"&gt;3764.59&lt;/D&gt;&lt;D xsi:type="xsd:double"&gt;3817.68&lt;/D&gt;&lt;D xsi:type="xsd:double"&gt;3805.45&lt;/D&gt;&lt;D xsi:type="xsd:double"&gt;3807.43&lt;/D&gt;&lt;D xsi:type="xsd:double"&gt;3822.21&lt;/D&gt;&lt;D xsi:type="xsd:double"&gt;3807.43&lt;/D&gt;&lt;D xsi:type="xsd:double"&gt;3843.28&lt;/D&gt;&lt;D xsi:type="xsd:double"&gt;3827.71&lt;/D&gt;&lt;D xsi:type="xsd:double"&gt;3841.53&lt;/D&gt;&lt;D xsi:type="xsd:double"&gt;3860.18&lt;/D&gt;&lt;D xsi:type="xsd:double"&gt;3822.4&lt;/D&gt;&lt;D xsi:type="xsd:double"&gt;3829.67&lt;/D&gt;&lt;D xsi:type="xsd:double"&gt;3819.07&lt;/D&gt;&lt;D xsi:type="xsd:double"&gt;3802.95&lt;/D&gt;&lt;D xsi:type="xsd:double"&gt;3813.45&lt;/D&gt;&lt;D xsi:type="xsd:double"&gt;3821.68&lt;/D&gt;&lt;D xsi:type="xsd:double"&gt;3837.15&lt;/D&gt;&lt;D xsi:type="xsd:double"&gt;3823.44&lt;/D&gt;&lt;D xsi:type="xsd:double"&gt;3831.84&lt;/D&gt;&lt;D xsi:type="xsd:double"&gt;3825.57&lt;/D&gt;&lt;D xsi:type="xsd:double"&gt;3790.85&lt;/D&gt;&lt;D xsi:type="xsd:double"&gt;3841.85&lt;/D&gt;&lt;D xsi:type="xsd:double"&gt;3858.32&lt;/D&gt;&lt;D xsi:type="xsd:double"&gt;3865.42&lt;/D&gt;&lt;D xsi:type="xsd:double"&gt;3882.59&lt;/D&gt;&lt;D xsi:type="xsd:double"&gt;3884.3&lt;/D&gt;&lt;D xsi:type="xsd:double"&gt;3895.1&lt;/D&gt;&lt;D xsi:type="xsd:double"&gt;3861.08&lt;/D&gt;&lt;D xsi:type="xsd:double"&gt;3855.31&lt;/D&gt;&lt;D xsi:type="xsd:double"&gt;3875.61&lt;/D&gt;&lt;D xsi:type="xsd:double"&gt;3877.03&lt;/D&gt;&lt;D xsi:type="xsd:double"&gt;3832.85&lt;/D&gt;&lt;D xsi:type="xsd:double"&gt;3799.97&lt;/D&gt;&lt;D xsi:type="xsd:double"&gt;3770.15&lt;/D&gt;&lt;D xsi:type="xsd:double"&gt;3693.42&lt;/D&gt;&lt;D xsi:type="xsd:double"&gt;3704.4&lt;/D&gt;&lt;D xsi:type="xsd:double"&gt;3722.96&lt;/D&gt;&lt;D xsi:type="xsd:double"&gt;3754.44&lt;/D&gt;&lt;D xsi:type="xsd:double"&gt;3734.54&lt;/D&gt;&lt;D xsi:type="xsd:double"&gt;3750.1&lt;/D&gt;&lt;D xsi:type="xsd:double"&gt;3733.1&lt;/D&gt;&lt;D xsi:type="xsd:double"&gt;3782.28&lt;/D&gt;&lt;D xsi:type="xsd:double"&gt;3804.33&lt;/D&gt;&lt;D xsi:type="xsd:double"&gt;3771.58&lt;/D&gt;&lt;D xsi:type="xsd:double"&gt;3788.1&lt;/D&gt;&lt;D xsi:type="xsd:double"&gt;3793.69&lt;/D&gt;&lt;D xsi:type="xsd:double"&gt;3810.62&lt;/D&gt;&lt;D xsi:type="xsd:double"&gt;3833.75&lt;/D&gt;&lt;D xsi:type="xsd:double"&gt;3805.36&lt;/D&gt;&lt;D xsi:type="xsd:double"&gt;3835.11&lt;/D&gt;&lt;D xsi:type="xsd:double"&gt;3862.32&lt;/D&gt;&lt;D xsi:type="xsd:double"&gt;3877.37&lt;/D&gt;&lt;D xsi:type="xsd:double"&gt;3888.86&lt;/D&gt;&lt;D xsi:type="xsd:double"&gt;3873&lt;/D&gt;&lt;D xsi:type="xsd:double"&gt;3895.31&lt;/D&gt;&lt;D xsi:type="xsd:double"&gt;3943.01&lt;/D&gt;&lt;D xsi:type="xsd:double"&gt;3925.17&lt;/D&gt;&lt;D xsi:type="xsd:double"&gt;3853.98&lt;/D&gt;&lt;D xsi:type="xsd:double"&gt;3832.7&lt;/D&gt;&lt;D xsi:type="xsd:double"&gt;3883.01&lt;/D&gt;&lt;D xsi:type="xsd:double"&gt;3888.87&lt;/D&gt;&lt;D xsi:type="xsd:double"&gt;3886.64&lt;/D&gt;&lt;D xsi:type="xsd:double"&gt;3851.57&lt;/D&gt;&lt;D xsi:type="xsd:double"&gt;3887.38&lt;/D&gt;&lt;D xsi:type="xsd:double"&gt;3928.5&lt;/D&gt;&lt;D xsi:type="xsd:double"&gt;3918.96&lt;/D&gt;&lt;/FQL&gt;&lt;FQL&gt;&lt;Q&gt;USDEUR^JULIAN(P_PRICE_AVG(12/31/2016,12/31/2017).DATES)&lt;/Q&gt;&lt;R&gt;1&lt;/R&gt;&lt;C&gt;1&lt;/C&gt;&lt;D xsi:type="xsd:long"&gt;43098&lt;/D&gt;&lt;/FQL&gt;&lt;FQL&gt;&lt;Q&gt;USDEUR^P_PRICE_AVG(12/31/2016,12/31/2017)&lt;/Q&gt;&lt;R&gt;1&lt;/R&gt;&lt;C&gt;1&lt;/C&gt;&lt;D xsi:type="xsd:double"&gt;0.88709754&lt;/D&gt;&lt;/FQL&gt;&lt;FQL&gt;&lt;Q&gt;USDDKK^P_PRICE_AVG(12/31/2016,12/31/2017)&lt;/Q&gt;&lt;R&gt;1&lt;/R&gt;&lt;C&gt;1&lt;/C&gt;&lt;D xsi:type="xsd:double"&gt;6.5987153&lt;/D&gt;&lt;/FQL&gt;&lt;FQL&gt;&lt;Q&gt;NOKUSD^P_PRICE_AVG(12/31/2016,12/31/2017)&lt;/Q&gt;&lt;R&gt;1&lt;/R&gt;&lt;C&gt;1&lt;/C&gt;&lt;D xsi:type="xsd:double"&gt;0.121036805&lt;/D&gt;&lt;/FQL&gt;&lt;FQL&gt;&lt;Q&gt;USDRUB^P_PRICE_AVG(12/31/2016,12/31/2017)&lt;/Q&gt;&lt;R&gt;1&lt;/R&gt;&lt;C&gt;1&lt;/C&gt;&lt;D xsi:type="xsd:double"&gt;58.34285&lt;/D&gt;&lt;/FQL&gt;&lt;FQL&gt;&lt;Q&gt;SALM-FDS^P_PRICE_AVG(12/31/2016,12/31/2017)&lt;/Q&gt;&lt;R&gt;0&lt;/R&gt;&lt;C&gt;0&lt;/C&gt;&lt;/FQL&gt;&lt;FQL&gt;&lt;Q&gt;SALM-FDS^JULIAN(FG_PRICE(12/31/2010,12/31/2020,CY,USD).DATES)&lt;/Q&gt;&lt;R&gt;11&lt;/R&gt;&lt;C&gt;1&lt;/C&gt;&lt;D xsi:type="xsd:long"&gt;40543&lt;/D&gt;&lt;D xsi:type="xsd:long"&gt;40907&lt;/D&gt;&lt;D xsi:type="xsd:long"&gt;41274&lt;/D&gt;&lt;D xsi:type="xsd:long"&gt;41639&lt;/D&gt;&lt;D xsi:type="xsd:long"&gt;42004&lt;/D&gt;&lt;D xsi:type="xsd:long"&gt;42369&lt;/D&gt;&lt;D xsi:type="xsd:long"&gt;42734&lt;/D&gt;&lt;D xsi:type="xsd:long"&gt;43098&lt;/D&gt;&lt;D xsi:type="xsd:long"&gt;43465&lt;/D&gt;&lt;D xsi:type="xsd:long"&gt;43830&lt;/D&gt;&lt;D xsi:type="xsd:long"&gt;44196&lt;/D&gt;&lt;/FQL&gt;&lt;FQL&gt;&lt;Q&gt;SALM-FDS^FG_PRICE(12/31/2010,12/31/2020,CY,USD)&lt;/Q&gt;&lt;R&gt;11&lt;/R&gt;&lt;C&gt;1&lt;/C&gt;&lt;D xsi:type="xsd:double"&gt;38.46&lt;/D&gt;&lt;D xsi:type="xsd:double"&gt;24.53&lt;/D&gt;&lt;D xsi:type="xsd:double"&gt;32.42&lt;/D&gt;&lt;D xsi:type="xsd:double"&gt;53.92&lt;/D&gt;&lt;D xsi:type="xsd:double"&gt;43.39&lt;/D&gt;&lt;D xsi:type="xsd:double"&gt;53.8&lt;/D&gt;&lt;D xsi:type="xsd:double"&gt;79.22&lt;/D&gt;&lt;D xsi:type="xsd:double"&gt;52.31&lt;/D&gt;&lt;D xsi:type="xsd:double"&gt;65.73&lt;/D&gt;&lt;D xsi:type="xsd:double"&gt;77.82&lt;/D&gt;&lt;D xsi:type="xsd:double"&gt;46.41&lt;/D&gt;&lt;/FQL&gt;&lt;FQL&gt;&lt;Q&gt;USDNOK^JULIAN(FG_PRICE(12/31/2010,12/31/2020,CY,USD).DATES)&lt;/Q&gt;&lt;R&gt;11&lt;/R&gt;&lt;C&gt;1&lt;/C&gt;&lt;D xsi:type="xsd:long"&gt;40543&lt;/D&gt;&lt;D xsi:type="xsd:long"&gt;40907&lt;/D&gt;&lt;D xsi:type="xsd:long"&gt;41274&lt;/D&gt;&lt;D xsi:type="xsd:long"&gt;41639&lt;/D&gt;&lt;D xsi:type="xsd:long"&gt;42004&lt;/D&gt;&lt;D xsi:type="xsd:long"&gt;42369&lt;/D&gt;&lt;D xsi:type="xsd:long"&gt;42734&lt;/D&gt;&lt;D xsi:type="xsd:long"&gt;43098&lt;/D&gt;&lt;D xsi:type="xsd:long"&gt;43465&lt;/D&gt;&lt;D xsi:type="xsd:long"&gt;43830&lt;/D&gt;&lt;D xsi:type="xsd:long"&gt;44196&lt;/D&gt;&lt;/FQL&gt;&lt;FQL&gt;&lt;Q&gt;USDNOK^FG_PRICE(12/31/2010,12/31/2020,CY,USD)&lt;/Q&gt;&lt;R&gt;11&lt;/R&gt;&lt;C&gt;1&lt;/C&gt;&lt;D xsi:type="xsd:double"&gt;5.8125&lt;/D&gt;&lt;D xsi:type="xsd:double"&gt;5.96795&lt;/D&gt;&lt;D xsi:type="xsd:double"&gt;5.56525&lt;/D&gt;&lt;D xsi:type="xsd:double"&gt;6.06685&lt;/D&gt;&lt;D xsi:type="xsd:double"&gt;7.49755&lt;/D&gt;&lt;D xsi:type="xsd:double"&gt;8.85135&lt;/D&gt;&lt;D xsi:type="xsd:double"&gt;8.6077&lt;/D&gt;&lt;D xsi:type="xsd:double"&gt;8.17935&lt;/D&gt;&lt;D xsi:type="xsd:double"&gt;8.65915&lt;/D&gt;&lt;D xsi:type="xsd:double"&gt;8.7873&lt;/D&gt;&lt;D xsi:type="xsd:double"&gt;8.56195&lt;/D&gt;&lt;/FQL&gt;&lt;FQL&gt;&lt;Q&gt;AQUA-RU^JULIAN(P_VOLUME_FRQ(-2AY,0,D).DATES)&lt;/Q&gt;&lt;R&gt;504&lt;/R&gt;&lt;C&gt;1&lt;/C&gt;&lt;D xsi:type="xsd:long"&gt;43707&lt;/D&gt;&lt;D xsi:type="xsd:long"&gt;43710&lt;/D&gt;&lt;D xsi:type="xsd:long"&gt;43711&lt;/D&gt;&lt;D xsi:type="xsd:long"&gt;43712&lt;/D&gt;&lt;D xsi:type="xsd:long"&gt;43713&lt;/D&gt;&lt;D xsi:type="xsd:long"&gt;43714&lt;/D&gt;&lt;D xsi:type="xsd:long"&gt;43717&lt;/D&gt;&lt;D xsi:type="xsd:long"&gt;43718&lt;/D&gt;&lt;D xsi:type="xsd:long"&gt;43719&lt;/D&gt;&lt;D xsi:type="xsd:long"&gt;43720&lt;/D&gt;&lt;D xsi:type="xsd:long"&gt;43721&lt;/D&gt;&lt;D xsi:type="xsd:long"&gt;43724&lt;/D&gt;&lt;D xsi:type="xsd:long"&gt;43725&lt;/D&gt;&lt;D xsi:type="xsd:long"&gt;43726&lt;/D&gt;&lt;D xsi:type="xsd:long"&gt;43727&lt;/D&gt;&lt;D xsi:type="xsd:long"&gt;43728&lt;/D&gt;&lt;D xsi:type="xsd:long"&gt;43731&lt;/D&gt;&lt;D xsi:type="xsd:long"&gt;43732&lt;/D&gt;&lt;D xsi:type="xsd:long"&gt;43733&lt;/D&gt;&lt;D xsi:type="xsd:long"&gt;43734&lt;/D&gt;&lt;D xsi:type="xsd:long"&gt;43735&lt;/D&gt;&lt;D xsi:type="xsd:long"&gt;43738&lt;/D&gt;&lt;D xsi:type="xsd:long"&gt;43739&lt;/D&gt;&lt;D xsi:type="xsd:long"&gt;43740&lt;/D&gt;&lt;D xsi:type="xsd:long"&gt;43741&lt;/D&gt;&lt;D xsi:type="xsd:long"&gt;43742&lt;/D&gt;&lt;D xsi:type="xsd:long"&gt;43745&lt;/D&gt;&lt;D xsi:type="xsd:long"&gt;43746&lt;/D&gt;&lt;D xsi:type="xsd:long"&gt;43747&lt;/D&gt;&lt;D xsi:type="xsd:long"&gt;43748&lt;/D&gt;&lt;D xsi:type="xsd:long"&gt;43749&lt;/D&gt;&lt;D xsi:type="xsd:long"&gt;43752&lt;/D&gt;&lt;D xsi:type="xsd:long"&gt;43753&lt;/D&gt;&lt;D xsi:type="xsd:long"&gt;43754&lt;/D&gt;&lt;D xsi:type="xsd:long"&gt;43755&lt;/D&gt;&lt;D xsi:type="xsd:long"&gt;43756&lt;/D&gt;&lt;D xsi:type="xsd:long"&gt;43759&lt;/D&gt;&lt;D xsi:type="xsd:long"&gt;43760&lt;/D&gt;&lt;D xsi:type="xsd:long"&gt;43761&lt;/D&gt;&lt;D xsi:type="xsd:long"&gt;43762&lt;/D&gt;&lt;D xsi:type="xsd:long"&gt;43763&lt;/D&gt;&lt;D xsi:type="xsd:long"&gt;43766&lt;/D&gt;&lt;D xsi:type="xsd:long"&gt;43767&lt;/D&gt;&lt;D xsi:type="xsd:long"&gt;43768&lt;/D&gt;&lt;D xsi:type="xsd:long"&gt;43769&lt;/D&gt;&lt;D xsi:type="xsd:long"&gt;43770&lt;/D&gt;&lt;D xsi:type="xsd:long"&gt;43774&lt;/D&gt;&lt;D xsi:type="xsd:long"&gt;43775&lt;/D&gt;&lt;D xsi:type="xsd:long"&gt;43776&lt;/D&gt;&lt;D xsi:type="xsd:long"&gt;43777&lt;/D&gt;&lt;D xsi:type="xsd:long"&gt;43780&lt;/D&gt;&lt;D xsi:type="xsd:long"&gt;43781&lt;/D&gt;&lt;D xsi:type="xsd:long"&gt;43782&lt;/D&gt;&lt;D xsi:type="xsd:long"&gt;43783&lt;/D&gt;&lt;D xsi:type="xsd:long"&gt;43784&lt;/D&gt;&lt;D xsi:type="xsd:long"&gt;43787&lt;/D&gt;&lt;D xsi:type="xsd:long"&gt;43788&lt;/D&gt;&lt;D xsi:type="xsd:long"&gt;43789&lt;/D&gt;&lt;D xsi:type="xsd:long"&gt;43790&lt;/D&gt;&lt;D xsi:type="xsd:long"&gt;43791&lt;/D&gt;&lt;D xsi:type="xsd:long"&gt;43794&lt;/D&gt;&lt;D xsi:type="xsd:long"&gt;43795&lt;/D&gt;&lt;D xsi:type="xsd:long"&gt;43796&lt;/D&gt;&lt;D xsi:type="xsd:long"&gt;43797&lt;/D&gt;&lt;D xsi:type="xsd:long"&gt;43798&lt;/D&gt;&lt;D xsi:type="xsd:long"&gt;43801&lt;/D&gt;&lt;D xsi:type="xsd:long"&gt;43802&lt;/D&gt;&lt;D xsi:type="xsd:long"&gt;43803&lt;/D&gt;&lt;D xsi:type="xsd:long"&gt;43804&lt;/D&gt;&lt;D xsi:type="xsd:long"&gt;43805&lt;/D&gt;&lt;D xsi:type="xsd:long"&gt;43808&lt;/D&gt;&lt;D xsi:type="xsd:long"&gt;43809&lt;/D&gt;&lt;D xsi:type="xsd:long"&gt;43810&lt;/D&gt;&lt;D xsi:type="xsd:long"&gt;43811&lt;/D&gt;&lt;D xsi:type="xsd:long"&gt;43812&lt;/D&gt;&lt;D xsi:type="xsd:long"&gt;43815&lt;/D&gt;&lt;D xsi:type="xsd:long"&gt;43816&lt;/D&gt;&lt;D xsi:type="xsd:long"&gt;43817&lt;/D&gt;&lt;D xsi:type="xsd:long"&gt;43818&lt;/D&gt;&lt;D xsi:type="xsd:long"&gt;43819&lt;/D&gt;&lt;D xsi:type="xsd:long"&gt;43822&lt;/D&gt;&lt;D xsi:type="xsd:long"&gt;43823&lt;/D&gt;&lt;D xsi:type="xsd:long"&gt;43824&lt;/D&gt;&lt;D xsi:type="xsd:long"&gt;43825&lt;/D&gt;&lt;D xsi:type="xsd:long"&gt;43826&lt;/D&gt;&lt;D xsi:type="xsd:long"&gt;43829&lt;/D&gt;&lt;D xsi:type="xsd:long"&gt;43833&lt;/D&gt;&lt;D xsi:type="xsd:long"&gt;43836&lt;/D&gt;&lt;D xsi:type="xsd:long"&gt;43838&lt;/D&gt;&lt;D xsi:type="xsd:long"&gt;43839&lt;/D&gt;&lt;D xsi:type="xsd:long"&gt;43840&lt;/D&gt;&lt;D xsi:type="xsd:long"&gt;43843&lt;/D&gt;&lt;D xsi:type="xsd:long"&gt;43844&lt;/D&gt;&lt;D xsi:type="xsd:long"&gt;43845&lt;/D&gt;&lt;D xsi:type="xsd:long"&gt;43846&lt;/D&gt;&lt;D xsi:type="xsd:long"&gt;43847&lt;/D&gt;&lt;D xsi:type="xsd:long"&gt;43850&lt;/D&gt;&lt;D xsi:type="xsd:long"&gt;43851&lt;/D&gt;&lt;D xsi:type="xsd:long"&gt;43852&lt;/D&gt;&lt;D xsi:type="xsd:long"&gt;43853&lt;/D&gt;&lt;D xsi:type="xsd:long"&gt;43854&lt;/D&gt;&lt;D xsi:type="xsd:long"&gt;43857&lt;/D&gt;&lt;D xsi:type="xsd:long"&gt;43858&lt;/D&gt;&lt;D xsi:type="xsd:long"&gt;43859&lt;/D&gt;&lt;D xsi:type="xsd:long"&gt;43860&lt;/D&gt;&lt;D xsi:type="xsd:long"&gt;43861&lt;/D&gt;&lt;D xsi:type="xsd:long"&gt;43864&lt;/D&gt;&lt;D xsi:type="xsd:long"&gt;43865&lt;/D&gt;&lt;D xsi:type="xsd:long"&gt;43866&lt;/D&gt;&lt;D xsi:type="xsd:long"&gt;43867&lt;/D&gt;&lt;D xsi:type="xsd:long"&gt;43868&lt;/D&gt;&lt;D xsi:type="xsd:long"&gt;43871&lt;/D&gt;&lt;D xsi:type="xsd:long"&gt;43872&lt;/D&gt;&lt;D xsi:type="xsd:long"&gt;43873&lt;/D&gt;&lt;D xsi:type="xsd:long"&gt;43874&lt;/D&gt;&lt;D xsi:type="xsd:long"&gt;43875&lt;/D&gt;&lt;D xsi:type="xsd:long"&gt;43878&lt;/D&gt;&lt;D xsi:type="xsd:long"&gt;43879&lt;/D&gt;&lt;D xsi:type="xsd:long"&gt;43880&lt;/D&gt;&lt;D xsi:type="xsd:long"&gt;43881&lt;/D&gt;&lt;D xsi:type="xsd:long"&gt;43882&lt;/D&gt;&lt;D xsi:type="xsd:long"&gt;43886&lt;/D&gt;&lt;D xsi:type="xsd:long"&gt;43887&lt;/D&gt;&lt;D xsi:type="xsd:long"&gt;43888&lt;/D&gt;&lt;D xsi:type="xsd:long"&gt;43889&lt;/D&gt;&lt;D xsi:type="xsd:long"&gt;43892&lt;/D&gt;&lt;D xsi:type="xsd:long"&gt;43893&lt;/D&gt;&lt;D xsi:type="xsd:long"&gt;43894&lt;/D&gt;&lt;D xsi:type="xsd:long"&gt;43895&lt;/D&gt;&lt;D xsi:type="xsd:long"&gt;43896&lt;/D&gt;&lt;D xsi:type="xsd:long"&gt;43900&lt;/D&gt;&lt;D xsi:type="xsd:long"&gt;43901&lt;/D&gt;&lt;D xsi:type="xsd:long"&gt;43902&lt;/D&gt;&lt;D xsi:type="xsd:long"&gt;43903&lt;/D&gt;&lt;D xsi:type="xsd:long"&gt;43906&lt;/D&gt;&lt;D xsi:type="xsd:long"&gt;43907&lt;/D&gt;&lt;D xsi:type="xsd:long"&gt;43908&lt;/D&gt;&lt;D xsi:type="xsd:long"&gt;43909&lt;/D&gt;&lt;D xsi:type="xsd:long"&gt;43910&lt;/D&gt;&lt;D xsi:type="xsd:long"&gt;43913&lt;/D&gt;&lt;D xsi:type="xsd:long"&gt;43914&lt;/D&gt;&lt;D xsi:type="xsd:long"&gt;43915&lt;/D&gt;&lt;D xsi:type="xsd:long"&gt;43916&lt;/D&gt;&lt;D xsi:type="xsd:long"&gt;43917&lt;/D&gt;&lt;D xsi:type="xsd:long"&gt;43920&lt;/D&gt;&lt;D xsi:type="xsd:long"&gt;43921&lt;/D&gt;&lt;D xsi:type="xsd:long"&gt;43922&lt;/D&gt;&lt;D xsi:type="xsd:long"&gt;43923&lt;/D&gt;&lt;D xsi:type="xsd:long"&gt;43924&lt;/D&gt;&lt;D xsi:type="xsd:long"&gt;43927&lt;/D&gt;&lt;D xsi:type="xsd:long"&gt;43928&lt;/D&gt;&lt;D xsi:type="xsd:long"&gt;43929&lt;/D&gt;&lt;D xsi:type="xsd:long"&gt;43930&lt;/D&gt;&lt;D xsi:type="xsd:long"&gt;43931&lt;/D&gt;&lt;D xsi:type="xsd:long"&gt;43934&lt;/D&gt;&lt;D xsi:type="xsd:long"&gt;43935&lt;/D&gt;&lt;D xsi:type="xsd:long"&gt;43936&lt;/D&gt;&lt;D xsi:type="xsd:long"&gt;43937&lt;/D&gt;&lt;D xsi:type="xsd:long"&gt;43938&lt;/D&gt;&lt;D xsi:type="xsd:long"&gt;43941&lt;/D&gt;&lt;D xsi:type="xsd:long"&gt;43942&lt;/D&gt;&lt;D xsi:type="xsd:long"&gt;43943&lt;/D&gt;&lt;D xsi:type="xsd:long"&gt;43944&lt;/D&gt;&lt;D xsi:type="xsd:long"&gt;43945&lt;/D&gt;&lt;D xsi:type="xsd:long"&gt;43948&lt;/D&gt;&lt;D xsi:type="xsd:long"&gt;43949&lt;/D&gt;&lt;D xsi:type="xsd:long"&gt;43950&lt;/D&gt;&lt;D xsi:type="xsd:long"&gt;43951&lt;/D&gt;&lt;D xsi:type="xsd:long"&gt;43955&lt;/D&gt;&lt;D xsi:type="xsd:long"&gt;43956&lt;/D&gt;&lt;D xsi:type="xsd:long"&gt;43957&lt;/D&gt;&lt;D xsi:type="xsd:long"&gt;43958&lt;/D&gt;&lt;D xsi:type="xsd:long"&gt;43959&lt;/D&gt;&lt;D xsi:type="xsd:long"&gt;43963&lt;/D&gt;&lt;D xsi:type="xsd:long"&gt;43964&lt;/D&gt;&lt;D xsi:type="xsd:long"&gt;43965&lt;/D&gt;&lt;D xsi:type="xsd:long"&gt;43966&lt;/D&gt;&lt;D xsi:type="xsd:long"&gt;43969&lt;/D&gt;&lt;D xsi:type="xsd:long"&gt;43970&lt;/D&gt;&lt;D xsi:type="xsd:long"&gt;43971&lt;/D&gt;&lt;D xsi:type="xsd:long"&gt;43972&lt;/D&gt;&lt;D xsi:type="xsd:long"&gt;43973&lt;/D&gt;&lt;D xsi:type="xsd:long"&gt;43976&lt;/D&gt;&lt;D xsi:type="xsd:long"&gt;43977&lt;/D&gt;&lt;D xsi:type="xsd:long"&gt;43978&lt;/D&gt;&lt;D xsi:type="xsd:long"&gt;43979&lt;/D&gt;&lt;D xsi:type="xsd:long"&gt;43980&lt;/D&gt;&lt;D xsi:type="xsd:long"&gt;43983&lt;/D&gt;&lt;D xsi:type="xsd:long"&gt;43984&lt;/D&gt;&lt;D xsi:type="xsd:long"&gt;43985&lt;/D&gt;&lt;D xsi:type="xsd:long"&gt;43986&lt;/D&gt;&lt;D xsi:type="xsd:long"&gt;43987&lt;/D&gt;&lt;D xsi:type="xsd:long"&gt;43990&lt;/D&gt;&lt;D xsi:type="xsd:long"&gt;43991&lt;/D&gt;&lt;D xsi:type="xsd:long"&gt;43992&lt;/D&gt;&lt;D xsi:type="xsd:long"&gt;43993&lt;/D&gt;&lt;D xsi:type="xsd:long"&gt;43997&lt;/D&gt;&lt;D xsi:type="xsd:long"&gt;43998&lt;/D&gt;&lt;D xsi:type="xsd:long"&gt;43999&lt;/D&gt;&lt;D xsi:type="xsd:long"&gt;44000&lt;/D&gt;&lt;D xsi:type="xsd:long"&gt;44001&lt;/D&gt;&lt;D xsi:type="xsd:long"&gt;44004&lt;/D&gt;&lt;D xsi:type="xsd:long"&gt;44005&lt;/D&gt;&lt;D xsi:type="xsd:long"&gt;44007&lt;/D&gt;&lt;D xsi:type="xsd:long"&gt;44008&lt;/D&gt;&lt;D xsi:type="xsd:long"&gt;44011&lt;/D&gt;&lt;D xsi:type="xsd:long"&gt;44012&lt;/D&gt;&lt;D xsi:type="xsd:long"&gt;44014&lt;/D&gt;&lt;D xsi:type="xsd:long"&gt;44015&lt;/D&gt;&lt;D xsi:type="xsd:long"&gt;44018&lt;/D&gt;&lt;D xsi:type="xsd:long"&gt;44019&lt;/D&gt;&lt;D xsi:type="xsd:long"&gt;44020&lt;/D&gt;&lt;D xsi:type="xsd:long"&gt;44021&lt;/D&gt;&lt;D xsi:type="xsd:long"&gt;44022&lt;/D&gt;&lt;D xsi:type="xsd:long"&gt;44025&lt;/D&gt;&lt;D xsi:type="xsd:long"&gt;44026&lt;/D&gt;&lt;D xsi:type="xsd:long"&gt;44027&lt;/D&gt;&lt;D xsi:type="xsd:long"&gt;44028&lt;/D&gt;&lt;D xsi:type="xsd:long"&gt;44029&lt;/D&gt;&lt;D xsi:type="xsd:long"&gt;44032&lt;/D&gt;&lt;D xsi:type="xsd:long"&gt;44033&lt;/D&gt;&lt;D xsi:type="xsd:long"&gt;44034&lt;/D&gt;&lt;D xsi:type="xsd:long"&gt;44035&lt;/D&gt;&lt;D xsi:type="xsd:long"&gt;44036&lt;/D&gt;&lt;D xsi:type="xsd:long"&gt;44039&lt;/D&gt;&lt;D xsi:type="xsd:long"&gt;44040&lt;/D&gt;&lt;D xsi:type="xsd:long"&gt;44041&lt;/D&gt;&lt;D xsi:type="xsd:long"&gt;44042&lt;/D&gt;&lt;D xsi:type="xsd:long"&gt;44043&lt;/D&gt;&lt;D xsi:type="xsd:long"&gt;44046&lt;/D&gt;&lt;D xsi:type="xsd:long"&gt;44047&lt;/D&gt;&lt;D xsi:type="xsd:long"&gt;44048&lt;/D&gt;&lt;D xsi:type="xsd:long"&gt;44049&lt;/D&gt;&lt;D xsi:type="xsd:long"&gt;44050&lt;/D&gt;&lt;D xsi:type="xsd:long"&gt;44053&lt;/D&gt;&lt;D xsi:type="xsd:long"&gt;44054&lt;/D&gt;&lt;D xsi:type="xsd:long"&gt;44055&lt;/D&gt;&lt;D xsi:type="xsd:long"&gt;44056&lt;/D&gt;&lt;D xsi:type="xsd:long"&gt;44057&lt;/D&gt;&lt;D xsi:type="xsd:long"&gt;44060&lt;/D&gt;&lt;D xsi:type="xsd:long"&gt;44061&lt;/D&gt;&lt;D xsi:type="xsd:long"&gt;44062&lt;/D&gt;&lt;D xsi:type="xsd:long"&gt;44063&lt;/D&gt;&lt;D xsi:type="xsd:long"&gt;44064&lt;/D&gt;&lt;D xsi:type="xsd:long"&gt;44067&lt;/D&gt;&lt;D xsi:type="xsd:long"&gt;44068&lt;/D&gt;&lt;D xsi:type="xsd:long"&gt;44069&lt;/D&gt;&lt;D xsi:type="xsd:long"&gt;44070&lt;/D&gt;&lt;D xsi:type="xsd:long"&gt;44071&lt;/D&gt;&lt;D xsi:type="xsd:long"&gt;44074&lt;/D&gt;&lt;D xsi:type="xsd:long"&gt;44075&lt;/D&gt;&lt;D xsi:type="xsd:long"&gt;44076&lt;/D&gt;&lt;D xsi:type="xsd:long"&gt;44077&lt;/D&gt;&lt;D xsi:type="xsd:long"&gt;44078&lt;/D&gt;&lt;D xsi:type="xsd:long"&gt;44081&lt;/D&gt;&lt;D xsi:type="xsd:long"&gt;44082&lt;/D&gt;&lt;D xsi:type="xsd:long"&gt;44083&lt;/D&gt;&lt;D xsi:type="xsd:long"&gt;44084&lt;/D&gt;&lt;D xsi:type="xsd:long"&gt;44085&lt;/D&gt;&lt;D xsi:type="xsd:long"&gt;44088&lt;/D&gt;&lt;D xsi:type="xsd:long"&gt;44089&lt;/D&gt;&lt;D xsi:type="xsd:long"&gt;44090&lt;/D&gt;&lt;D xsi:type="xsd:long"&gt;44091&lt;/D&gt;&lt;D xsi:type="xsd:long"&gt;44092&lt;/D&gt;&lt;D xsi:type="xsd:long"&gt;44095&lt;/D&gt;&lt;D xsi:type="xsd:long"&gt;44096&lt;/D&gt;&lt;D xsi:type="xsd:long"&gt;44097&lt;/D&gt;&lt;D xsi:type="xsd:long"&gt;44098&lt;/D&gt;&lt;D xsi:type="xsd:long"&gt;44099&lt;/D&gt;&lt;D xsi:type="xsd:long"&gt;44102&lt;/D&gt;&lt;D xsi:type="xsd:long"&gt;44103&lt;/D&gt;&lt;D xsi:type="xsd:long"&gt;44104&lt;/D&gt;&lt;D xsi:type="xsd:long"&gt;44105&lt;/D&gt;&lt;D xsi:type="xsd:long"&gt;44106&lt;/D&gt;&lt;D xsi:type="xsd:long"&gt;44109&lt;/D&gt;&lt;D xsi:type="xsd:long"&gt;44110&lt;/D&gt;&lt;D xsi:type="xsd:long"&gt;44111&lt;/D&gt;&lt;D xsi:type="xsd:long"&gt;44112&lt;/D&gt;&lt;D xsi:type="xsd:long"&gt;44113&lt;/D&gt;&lt;D xsi:type="xsd:long"&gt;44116&lt;/D&gt;&lt;D xsi:type="xsd:long"&gt;44117&lt;/D&gt;&lt;D xsi:type="xsd:long"&gt;44118&lt;/D&gt;&lt;D xsi:type="xsd:long"&gt;44119&lt;/D&gt;&lt;D xsi:type="xsd:long"&gt;44120&lt;/D&gt;&lt;D xsi:type="xsd:long"&gt;44123&lt;/D&gt;&lt;D xsi:type="xsd:long"&gt;44124&lt;/D&gt;&lt;D xsi:type="xsd:long"&gt;44125&lt;/D&gt;&lt;D xsi:type="xsd:long"&gt;44126&lt;/D&gt;&lt;D xsi:type="xsd:long"&gt;44127&lt;/D&gt;&lt;D xsi:type="xsd:long"&gt;44130&lt;/D&gt;&lt;D xsi:type="xsd:long"&gt;44131&lt;/D&gt;&lt;D xsi:type="xsd:long"&gt;44132&lt;/D&gt;&lt;D xsi:type="xsd:long"&gt;44133&lt;/D&gt;&lt;D xsi:type="xsd:long"&gt;44134&lt;/D&gt;&lt;D xsi:type="xsd:long"&gt;44137&lt;/D&gt;&lt;D xsi:type="xsd:long"&gt;44138&lt;/D&gt;&lt;D xsi:type="xsd:long"&gt;44140&lt;/D&gt;&lt;D xsi:type="xsd:long"&gt;44141&lt;/D&gt;&lt;D xsi:type="xsd:long"&gt;44144&lt;/D&gt;&lt;D xsi:type="xsd:long"&gt;44145&lt;/D&gt;&lt;D xsi:type="xsd:long"&gt;44146&lt;/D&gt;&lt;D xsi:type="xsd:long"&gt;44147&lt;/D&gt;&lt;D xsi:type="xsd:long"&gt;44148&lt;/D&gt;&lt;D xsi:type="xsd:long"&gt;44151&lt;/D&gt;&lt;D xsi:type="xsd:long"&gt;44152&lt;/D&gt;&lt;D xsi:type="xsd:long"&gt;44153&lt;/D&gt;&lt;D xsi:type="xsd:long"&gt;44154&lt;/D&gt;&lt;D xsi:type="xsd:long"&gt;44155&lt;/D&gt;&lt;D xsi:type="xsd:long"&gt;44158&lt;/D&gt;&lt;D xsi:type="xsd:long"&gt;44159&lt;/D&gt;&lt;D xsi:type="xsd:long"&gt;44160&lt;/D&gt;&lt;D xsi:type="xsd:long"&gt;44161&lt;/D&gt;&lt;D xsi:type="xsd:long"&gt;44162&lt;/D&gt;&lt;D xsi:type="xsd:long"&gt;44165&lt;/D&gt;&lt;D xsi:type="xsd:long"&gt;44166&lt;/D&gt;&lt;D xsi:type="xsd:long"&gt;44167&lt;/D&gt;&lt;D xsi:type="xsd:long"&gt;44168&lt;/D&gt;&lt;D xsi:type="xsd:long"&gt;44169&lt;/D&gt;&lt;D xsi:type="xsd:long"&gt;44172&lt;/D&gt;&lt;D xsi:type="xsd:long"&gt;44173&lt;/D&gt;&lt;D xsi:type="xsd:long"&gt;44174&lt;/D&gt;&lt;D xsi:type="xsd:long"&gt;44175&lt;/D&gt;&lt;D xsi:type="xsd:long"&gt;44176&lt;/D&gt;&lt;D xsi:type="xsd:long"&gt;44179&lt;/D&gt;&lt;D xsi:type="xsd:long"&gt;44180&lt;/D&gt;&lt;D xsi:type="xsd:long"&gt;44181&lt;/D&gt;&lt;D xsi:type="xsd:long"&gt;44182&lt;/D&gt;&lt;D xsi:type="xsd:long"&gt;44183&lt;/D&gt;&lt;D xsi:type="xsd:long"&gt;44186&lt;/D&gt;&lt;D xsi:type="xsd:long"&gt;44187&lt;/D&gt;&lt;D xsi:type="xsd:long"&gt;44188&lt;/D&gt;&lt;D xsi:type="xsd:long"&gt;44189&lt;/D&gt;&lt;D xsi:type="xsd:long"&gt;44190&lt;/D&gt;&lt;D xsi:type="xsd:long"&gt;44193&lt;/D&gt;&lt;D xsi:type="xsd:long"&gt;44194&lt;/D&gt;&lt;D xsi:type="xsd:long"&gt;44195&lt;/D&gt;&lt;D xsi:type="xsd:long"&gt;44200&lt;/D&gt;&lt;D xsi:type="xsd:long"&gt;44201&lt;/D&gt;&lt;D xsi:type="xsd:long"&gt;44202&lt;/D&gt;&lt;D xsi:type="xsd:long"&gt;44204&lt;/D&gt;&lt;D xsi:type="xsd:long"&gt;44207&lt;/D&gt;&lt;D xsi:type="xsd:long"&gt;44208&lt;/D&gt;&lt;D xsi:type="xsd:long"&gt;44209&lt;/D&gt;&lt;D xsi:type="xsd:long"&gt;44210&lt;/D&gt;&lt;D xsi:type="xsd:long"&gt;44211&lt;/D&gt;&lt;D xsi:type="xsd:long"&gt;44214&lt;/D&gt;&lt;D xsi:type="xsd:long"&gt;44215&lt;/D&gt;&lt;D xsi:type="xsd:long"&gt;44216&lt;/D&gt;&lt;D xsi:type="xsd:long"&gt;44217&lt;/D&gt;&lt;D xsi:type="xsd:long"&gt;44218&lt;/D&gt;&lt;D xsi:type="xsd:long"&gt;44221&lt;/D&gt;&lt;D xsi:type="xsd:long"&gt;44222&lt;/D&gt;&lt;D xsi:type="xsd:long"&gt;44223&lt;/D&gt;&lt;D xsi:type="xsd:long"&gt;44224&lt;/D&gt;&lt;D xsi:type="xsd:long"&gt;44225&lt;/D&gt;&lt;D xsi:type="xsd:long"&gt;44228&lt;/D&gt;&lt;D xsi:type="xsd:long"&gt;44229&lt;/D&gt;&lt;D xsi:type="xsd:long"&gt;44230&lt;/D&gt;&lt;D xsi:type="xsd:long"&gt;44231&lt;/D&gt;&lt;D xsi:type="xsd:long"&gt;44232&lt;/D&gt;&lt;D xsi:type="xsd:long"&gt;44235&lt;/D&gt;&lt;D xsi:type="xsd:long"&gt;44236&lt;/D&gt;&lt;D xsi:type="xsd:long"&gt;44237&lt;/D&gt;&lt;D xsi:type="xsd:long"&gt;44238&lt;/D&gt;&lt;D xsi:type="xsd:long"&gt;44239&lt;/D&gt;&lt;D xsi:type="xsd:long"&gt;44242&lt;/D&gt;&lt;D xsi:type="xsd:long"&gt;44243&lt;/D&gt;&lt;D xsi:type="xsd:long"&gt;44244&lt;/D&gt;&lt;D xsi:type="xsd:long"&gt;44245&lt;/D&gt;&lt;D xsi:type="xsd:long"&gt;44246&lt;/D&gt;&lt;D xsi:type="xsd:long"&gt;44249&lt;/D&gt;&lt;D xsi:type="xsd:long"&gt;44251&lt;/D&gt;&lt;D xsi:type="xsd:long"&gt;44252&lt;/D&gt;&lt;D xsi:type="xsd:long"&gt;44253&lt;/D&gt;&lt;D xsi:type="xsd:long"&gt;44256&lt;/D&gt;&lt;D xsi:type="xsd:long"&gt;44257&lt;/D&gt;&lt;D xsi:type="xsd:long"&gt;44258&lt;/D&gt;&lt;D xsi:type="xsd:long"&gt;44259&lt;/D&gt;&lt;D xsi:type="xsd:long"&gt;44260&lt;/D&gt;&lt;D xsi:type="xsd:long"&gt;44264&lt;/D&gt;&lt;D xsi:type="xsd:long"&gt;44265&lt;/D&gt;&lt;D xsi:type="xsd:long"&gt;44266&lt;/D&gt;&lt;D xsi:type="xsd:long"&gt;44267&lt;/D&gt;&lt;D xsi:type="xsd:long"&gt;44270&lt;/D&gt;&lt;D xsi:type="xsd:long"&gt;44271&lt;/D&gt;&lt;D xsi:type="xsd:long"&gt;44272&lt;/D&gt;&lt;D xsi:type="xsd:long"&gt;44273&lt;/D&gt;&lt;D xsi:type="xsd:long"&gt;44274&lt;/D&gt;&lt;D xsi:type="xsd:long"&gt;44277&lt;/D&gt;&lt;D xsi:type="xsd:long"&gt;44278&lt;/D&gt;&lt;D xsi:type="xsd:long"&gt;44279&lt;/D&gt;&lt;D xsi:type="xsd:long"&gt;44280&lt;/D&gt;&lt;D xsi:type="xsd:long"&gt;44281&lt;/D&gt;&lt;D xsi:type="xsd:long"&gt;44284&lt;/D&gt;&lt;D xsi:type="xsd:long"&gt;44285&lt;/D&gt;&lt;D xsi:type="xsd:long"&gt;44286&lt;/D&gt;&lt;D xsi:type="xsd:long"&gt;44287&lt;/D&gt;&lt;D xsi:type="xsd:long"&gt;44288&lt;/D&gt;&lt;D xsi:type="xsd:long"&gt;44291&lt;/D&gt;&lt;D xsi:type="xsd:long"&gt;44292&lt;/D&gt;&lt;D xsi:type="xsd:long"&gt;44293&lt;/D&gt;&lt;D xsi:type="xsd:long"&gt;44294&lt;/D&gt;&lt;D xsi:type="xsd:long"&gt;44295&lt;/D&gt;&lt;D xsi:type="xsd:long"&gt;44298&lt;/D&gt;&lt;D xsi:type="xsd:long"&gt;44299&lt;/D&gt;&lt;D xsi:type="xsd:long"&gt;44300&lt;/D&gt;&lt;D xsi:type="xsd:long"&gt;44301&lt;/D&gt;&lt;D xsi:type="xsd:long"&gt;44302&lt;/D&gt;&lt;D xsi:type="xsd:long"&gt;44305&lt;/D&gt;&lt;D xsi:type="xsd:long"&gt;44306&lt;/D&gt;&lt;D xsi:type="xsd:long"&gt;44307&lt;/D&gt;&lt;D xsi:type="xsd:long"&gt;44308&lt;/D&gt;&lt;D xsi:type="xsd:long"&gt;44309&lt;/D&gt;&lt;D xsi:type="xsd:long"&gt;44312&lt;/D&gt;&lt;D xsi:type="xsd:long"&gt;44313&lt;/D&gt;&lt;D xsi:type="xsd:long"&gt;44314&lt;/D&gt;&lt;D xsi:type="xsd:long"&gt;44315&lt;/D&gt;&lt;D xsi:type="xsd:long"&gt;44316&lt;/D&gt;&lt;D xsi:type="xsd:long"&gt;44320&lt;/D&gt;&lt;D xsi:type="xsd:long"&gt;44321&lt;/D&gt;&lt;D xsi:type="xsd:long"&gt;44322&lt;/D&gt;&lt;D xsi:type="xsd:long"&gt;44323&lt;/D&gt;&lt;D xsi:type="xsd:long"&gt;44326&lt;/D&gt;&lt;D xsi:type="xsd:long"&gt;44327&lt;/D&gt;&lt;D xsi:type="xsd:long"&gt;44328&lt;/D&gt;&lt;D xsi:type="xsd:long"&gt;44329&lt;/D&gt;&lt;D xsi:type="xsd:long"&gt;44330&lt;/D&gt;&lt;D xsi:type="xsd:long"&gt;44333&lt;/D&gt;&lt;D xsi:type="xsd:long"&gt;44334&lt;/D&gt;&lt;D xsi:type="xsd:long"&gt;44335&lt;/D&gt;&lt;D xsi:type="xsd:long"&gt;44336&lt;/D&gt;&lt;D xsi:type="xsd:long"&gt;44337&lt;/D&gt;&lt;D xsi:type="xsd:long"&gt;44340&lt;/D&gt;&lt;D xsi:type="xsd:long"&gt;44341&lt;/D&gt;&lt;D xsi:type="xsd:long"&gt;44342&lt;/D&gt;&lt;D xsi:type="xsd:long"&gt;44343&lt;/D&gt;&lt;D xsi:type="xsd:long"&gt;44344&lt;/D&gt;&lt;D xsi:type="xsd:long"&gt;44347&lt;/D&gt;&lt;D xsi:type="xsd:long"&gt;44348&lt;/D&gt;&lt;D xsi:type="xsd:long"&gt;44349&lt;/D&gt;&lt;D xsi:type="xsd:long"&gt;44350&lt;/D&gt;&lt;D xsi:type="xsd:long"&gt;44351&lt;/D&gt;&lt;D xsi:type="xsd:long"&gt;44354&lt;/D&gt;&lt;D xsi:type="xsd:long"&gt;44355&lt;/D&gt;&lt;D xsi:type="xsd:long"&gt;44356&lt;/D&gt;&lt;D xsi:type="xsd:long"&gt;44357&lt;/D&gt;&lt;D xsi:type="xsd:long"&gt;44358&lt;/D&gt;&lt;D xsi:type="xsd:long"&gt;44361&lt;/D&gt;&lt;D xsi:type="xsd:long"&gt;44362&lt;/D&gt;&lt;D xsi:type="xsd:long"&gt;44363&lt;/D&gt;&lt;D xsi:type="xsd:long"&gt;44364&lt;/D&gt;&lt;D xsi:type="xsd:long"&gt;44365&lt;/D&gt;&lt;D xsi:type="xsd:long"&gt;44368&lt;/D&gt;&lt;D xsi:type="xsd:long"&gt;44369&lt;/D&gt;&lt;D xsi:type="xsd:long"&gt;44370&lt;/D&gt;&lt;D xsi:type="xsd:long"&gt;44371&lt;/D&gt;&lt;D xsi:type="xsd:long"&gt;44372&lt;/D&gt;&lt;D xsi:type="xsd:long"&gt;44375&lt;/D&gt;&lt;D xsi:type="xsd:long"&gt;44376&lt;/D&gt;&lt;D xsi:type=</t>
        </r>
      </text>
    </comment>
    <comment ref="A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"xsd:long"&gt;44377&lt;/D&gt;&lt;D xsi:type="xsd:long"&gt;44378&lt;/D&gt;&lt;D xsi:type="xsd:long"&gt;44379&lt;/D&gt;&lt;D xsi:type="xsd:long"&gt;44382&lt;/D&gt;&lt;D xsi:type="xsd:long"&gt;44383&lt;/D&gt;&lt;D xsi:type="xsd:long"&gt;44384&lt;/D&gt;&lt;D xsi:type="xsd:long"&gt;44385&lt;/D&gt;&lt;D xsi:type="xsd:long"&gt;44386&lt;/D&gt;&lt;D xsi:type="xsd:long"&gt;44389&lt;/D&gt;&lt;D xsi:type="xsd:long"&gt;44390&lt;/D&gt;&lt;D xsi:type="xsd:long"&gt;44391&lt;/D&gt;&lt;D xsi:type="xsd:long"&gt;44392&lt;/D&gt;&lt;D xsi:type="xsd:long"&gt;44393&lt;/D&gt;&lt;D xsi:type="xsd:long"&gt;44396&lt;/D&gt;&lt;D xsi:type="xsd:long"&gt;44397&lt;/D&gt;&lt;D xsi:type="xsd:long"&gt;44398&lt;/D&gt;&lt;D xsi:type="xsd:long"&gt;44399&lt;/D&gt;&lt;D xsi:type="xsd:long"&gt;44400&lt;/D&gt;&lt;D xsi:type="xsd:long"&gt;44403&lt;/D&gt;&lt;D xsi:type="xsd:long"&gt;44404&lt;/D&gt;&lt;D xsi:type="xsd:long"&gt;44405&lt;/D&gt;&lt;D xsi:type="xsd:long"&gt;44406&lt;/D&gt;&lt;D xsi:type="xsd:long"&gt;44407&lt;/D&gt;&lt;D xsi:type="xsd:long"&gt;44410&lt;/D&gt;&lt;D xsi:type="xsd:long"&gt;44411&lt;/D&gt;&lt;D xsi:type="xsd:long"&gt;44412&lt;/D&gt;&lt;D xsi:type="xsd:long"&gt;44413&lt;/D&gt;&lt;D xsi:type="xsd:long"&gt;44414&lt;/D&gt;&lt;D xsi:type="xsd:long"&gt;44417&lt;/D&gt;&lt;D xsi:type="xsd:long"&gt;44418&lt;/D&gt;&lt;D xsi:type="xsd:long"&gt;44419&lt;/D&gt;&lt;D xsi:type="xsd:long"&gt;44420&lt;/D&gt;&lt;D xsi:type="xsd:long"&gt;44421&lt;/D&gt;&lt;D xsi:type="xsd:long"&gt;44424&lt;/D&gt;&lt;D xsi:type="xsd:long"&gt;44425&lt;/D&gt;&lt;D xsi:type="xsd:long"&gt;44426&lt;/D&gt;&lt;D xsi:type="xsd:long"&gt;44427&lt;/D&gt;&lt;D xsi:type="xsd:long"&gt;44428&lt;/D&gt;&lt;D xsi:type="xsd:long"&gt;44431&lt;/D&gt;&lt;D xsi:type="xsd:long"&gt;44432&lt;/D&gt;&lt;D xsi:type="xsd:long"&gt;44433&lt;/D&gt;&lt;D xsi:type="xsd:long"&gt;44434&lt;/D&gt;&lt;D xsi:type="xsd:long"&gt;44435&lt;/D&gt;&lt;D xsi:type="xsd:long"&gt;44438&lt;/D&gt;&lt;D xsi:type="xsd:long"&gt;44439&lt;/D&gt;&lt;/FQL&gt;&lt;FQL&gt;&lt;Q&gt;MOWI-NO^JULIAN(P_PRICE_AVG(1/1/2018,12/31/2018,,USD).DATES)&lt;/Q&gt;&lt;R&gt;1&lt;/R&gt;&lt;C&gt;1&lt;/C&gt;&lt;D xsi:type="xsd:long"&gt;43462&lt;/D&gt;&lt;/FQL&gt;&lt;FQL&gt;&lt;Q&gt;MOWI-NO^P_PRICE_AVG(1/1/2018,12/31/2018,,USD)&lt;/Q&gt;&lt;R&gt;1&lt;/R&gt;&lt;C&gt;1&lt;/C&gt;&lt;D xsi:type="xsd:double"&gt;21.091839&lt;/D&gt;&lt;/FQL&gt;&lt;FQL&gt;&lt;Q&gt;BAKKA-NO^P_PRICE_AVG(1/1/2018,12/31/2018,,USD)&lt;/Q&gt;&lt;R&gt;1&lt;/R&gt;&lt;C&gt;1&lt;/C&gt;&lt;D xsi:type="xsd:double"&gt;53.915928&lt;/D&gt;&lt;/FQL&gt;&lt;FQL&gt;&lt;Q&gt;SALM-NO^P_PRICE_AVG(1/1/2018,12/31/2018,,USD)&lt;/Q&gt;&lt;R&gt;1&lt;/R&gt;&lt;C&gt;1&lt;/C&gt;&lt;D xsi:type="xsd:double"&gt;44.945248&lt;/D&gt;&lt;/FQL&gt;&lt;FQL&gt;&lt;Q&gt;GSF-NO^P_PRICE_AVG(1/1/2018,12/31/2018,,USD)&lt;/Q&gt;&lt;R&gt;1&lt;/R&gt;&lt;C&gt;1&lt;/C&gt;&lt;D xsi:type="xsd:double"&gt;11.286421&lt;/D&gt;&lt;/FQL&gt;&lt;FQL&gt;&lt;Q&gt;LSG-NO^P_PRICE_AVG(1/1/2018,12/31/2018,,USD)&lt;/Q&gt;&lt;R&gt;1&lt;/R&gt;&lt;C&gt;1&lt;/C&gt;&lt;D xsi:type="xsd:double"&gt;7.1840496&lt;/D&gt;&lt;/FQL&gt;&lt;FQL&gt;&lt;Q&gt;SALMOCAM-CL^P_PRICE_AVG(1/1/2018,12/31/2018,,USD)&lt;/Q&gt;&lt;R&gt;1&lt;/R&gt;&lt;C&gt;1&lt;/C&gt;&lt;D xsi:type="xsd:double"&gt;7.575012&lt;/D&gt;&lt;/FQL&gt;&lt;FQL&gt;&lt;Q&gt;AQUA-RU^P_PRICE_AVG(1/1/2018,12/31/2018,,USD)&lt;/Q&gt;&lt;R&gt;1&lt;/R&gt;&lt;C&gt;1&lt;/C&gt;&lt;D xsi:type="xsd:double"&gt;2.658321&lt;/D&gt;&lt;/FQL&gt;&lt;FQL&gt;&lt;Q&gt;AQUA-RU^FORMULA_DESCRIPTION("P_VOLUME_FRQ")&lt;/Q&gt;&lt;R&gt;1&lt;/R&gt;&lt;C&gt;1&lt;/C&gt;&lt;D xsi:type="xsd:string"&gt;Volume - Daily - for Date Requested&lt;/D&gt;&lt;/FQL&gt;&lt;FQL&gt;&lt;Q&gt;AQUA-RU^P_VOLUME_FRQ(-2AY,0,D)&lt;/Q&gt;&lt;R&gt;504&lt;/R&gt;&lt;C&gt;1&lt;/C&gt;&lt;D xsi:type="xsd:double"&gt;16.27&lt;/D&gt;&lt;D xsi:type="xsd:double"&gt;11.27&lt;/D&gt;&lt;D xsi:type="xsd:double"&gt;7.26&lt;/D&gt;&lt;D xsi:type="xsd:double"&gt;1.21&lt;/D&gt;&lt;D xsi:type="xsd:double"&gt;1.07&lt;/D&gt;&lt;D xsi:type="xsd:double"&gt;1.74&lt;/D&gt;&lt;D xsi:type="xsd:double"&gt;1.99&lt;/D&gt;&lt;D xsi:type="xsd:double"&gt;1.02&lt;/D&gt;&lt;D xsi:type="xsd:double"&gt;4.28&lt;/D&gt;&lt;D xsi:type="xsd:double"&gt;5.87&lt;/D&gt;&lt;D xsi:type="xsd:double"&gt;3.03&lt;/D&gt;&lt;D xsi:type="xsd:double"&gt;5.71&lt;/D&gt;&lt;D xsi:type="xsd:double"&gt;3.42&lt;/D&gt;&lt;D xsi:type="xsd:double"&gt;2.78&lt;/D&gt;&lt;D xsi:type="xsd:double"&gt;2.79&lt;/D&gt;&lt;D xsi:type="xsd:double"&gt;4.24&lt;/D&gt;&lt;D xsi:type="xsd:double"&gt;3.02&lt;/D&gt;&lt;D xsi:type="xsd:double"&gt;1.31&lt;/D&gt;&lt;D xsi:type="xsd:double"&gt;4.81&lt;/D&gt;&lt;D xsi:type="xsd:double"&gt;1.44&lt;/D&gt;&lt;D xsi:type="xsd:double"&gt;1.11&lt;/D&gt;&lt;D xsi:type="xsd:double"&gt;1.5&lt;/D&gt;&lt;D xsi:type="xsd:double"&gt;1.57&lt;/D&gt;&lt;D xsi:type="xsd:double"&gt;1.3&lt;/D&gt;&lt;D xsi:type="xsd:double"&gt;0.99&lt;/D&gt;&lt;D xsi:type="xsd:double"&gt;1.24&lt;/D&gt;&lt;D xsi:type="xsd:double"&gt;6.97&lt;/D&gt;&lt;D xsi:type="xsd:double"&gt;1.78&lt;/D&gt;&lt;D xsi:type="xsd:double"&gt;1.71&lt;/D&gt;&lt;D xsi:type="xsd:double"&gt;1.88&lt;/D&gt;&lt;D xsi:type="xsd:double"&gt;1.38&lt;/D&gt;&lt;D xsi:type="xsd:double"&gt;3.21&lt;/D&gt;&lt;D xsi:type="xsd:double"&gt;1.04&lt;/D&gt;&lt;D xsi:type="xsd:double"&gt;1.11&lt;/D&gt;&lt;D xsi:type="xsd:double"&gt;6.09&lt;/D&gt;&lt;D xsi:type="xsd:double"&gt;4.68&lt;/D&gt;&lt;D xsi:type="xsd:double"&gt;1.8&lt;/D&gt;&lt;D xsi:type="xsd:double"&gt;1.16&lt;/D&gt;&lt;D xsi:type="xsd:double"&gt;1.34&lt;/D&gt;&lt;D xsi:type="xsd:double"&gt;1.3&lt;/D&gt;&lt;D xsi:type="xsd:double"&gt;1.84&lt;/D&gt;&lt;D xsi:type="xsd:double"&gt;7.9&lt;/D&gt;&lt;D xsi:type="xsd:double"&gt;1.22&lt;/D&gt;&lt;D xsi:type="xsd:double"&gt;2.85&lt;/D&gt;&lt;D xsi:type="xsd:double"&gt;2.54&lt;/D&gt;&lt;D xsi:type="xsd:double"&gt;6.25&lt;/D&gt;&lt;D xsi:type="xsd:double"&gt;2.19&lt;/D&gt;&lt;D xsi:type="xsd:double"&gt;3.68&lt;/D&gt;&lt;D xsi:type="xsd:double"&gt;4.28&lt;/D&gt;&lt;D xsi:type="xsd:double"&gt;1.37&lt;/D&gt;&lt;D xsi:type="xsd:double"&gt;3.18&lt;/D&gt;&lt;D xsi:type="xsd:double"&gt;13.94&lt;/D&gt;&lt;D xsi:type="xsd:double"&gt;9.77&lt;/D&gt;&lt;D xsi:type="xsd:double"&gt;3.96&lt;/D&gt;&lt;D xsi:type="xsd:double"&gt;2.8&lt;/D&gt;&lt;D xsi:type="xsd:double"&gt;1.82&lt;/D&gt;&lt;D xsi:type="xsd:double"&gt;2.2&lt;/D&gt;&lt;D xsi:type="xsd:double"&gt;3.55&lt;/D&gt;&lt;D xsi:type="xsd:double"&gt;2.86&lt;/D&gt;&lt;D xsi:type="xsd:double"&gt;3.07&lt;/D&gt;&lt;D xsi:type="xsd:double"&gt;5.7&lt;/D&gt;&lt;D xsi:type="xsd:double"&gt;3.38&lt;/D&gt;&lt;D xsi:type="xsd:double"&gt;4.69&lt;/D&gt;&lt;D xsi:type="xsd:double"&gt;9.51&lt;/D&gt;&lt;D xsi:type="xsd:double"&gt;1.38&lt;/D&gt;&lt;D xsi:type="xsd:double"&gt;1.85&lt;/D&gt;&lt;D xsi:type="xsd:double"&gt;12.02&lt;/D&gt;&lt;D xsi:type="xsd:double"&gt;33.05&lt;/D&gt;&lt;D xsi:type="xsd:double"&gt;27.37&lt;/D&gt;&lt;D xsi:type="xsd:double"&gt;3.04&lt;/D&gt;&lt;D xsi:type="xsd:double"&gt;10.7&lt;/D&gt;&lt;D xsi:type="xsd:double"&gt;21.52&lt;/D&gt;&lt;D xsi:type="xsd:double"&gt;239.12&lt;/D&gt;&lt;D xsi:type="xsd:double"&gt;91.96&lt;/D&gt;&lt;D xsi:type="xsd:double"&gt;258.22&lt;/D&gt;&lt;D xsi:type="xsd:double"&gt;36.63&lt;/D&gt;&lt;D xsi:type="xsd:double"&gt;14.59&lt;/D&gt;&lt;D xsi:type="xsd:double"&gt;56.23&lt;/D&gt;&lt;D xsi:type="xsd:double"&gt;1.82&lt;/D&gt;&lt;D xsi:type="xsd:double"&gt;5.91&lt;/D&gt;&lt;D xsi:type="xsd:double"&gt;112.56&lt;/D&gt;&lt;D xsi:type="xsd:double"&gt;1.37&lt;/D&gt;&lt;D xsi:type="xsd:double"&gt;6.58&lt;/D&gt;&lt;D xsi:type="xsd:double"&gt;1.7&lt;/D&gt;&lt;D xsi:type="xsd:double"&gt;2.56&lt;/D&gt;&lt;D xsi:type="xsd:double"&gt;41.75&lt;/D&gt;&lt;D xsi:type="xsd:double"&gt;11.62&lt;/D&gt;&lt;D xsi:type="xsd:double"&gt;3.39&lt;/D&gt;&lt;D xsi:type="xsd:double"&gt;8.18&lt;/D&gt;&lt;D xsi:type="xsd:double"&gt;8.72&lt;/D&gt;&lt;D xsi:type="xsd:double"&gt;480.26&lt;/D&gt;&lt;D xsi:type="xsd:double"&gt;6.24&lt;/D&gt;&lt;D xsi:type="xsd:double"&gt;15.24&lt;/D&gt;&lt;D xsi:type="xsd:double"&gt;6.58&lt;/D&gt;&lt;D xsi:type="xsd:double"&gt;9.52&lt;/D&gt;&lt;D xsi:type="xsd:double"&gt;36.59&lt;/D&gt;&lt;D xsi:type="xsd:double"&gt;265.72&lt;/D&gt;&lt;D xsi:type="xsd:double"&gt;55.7&lt;/D&gt;&lt;D xsi:type="xsd:double"&gt;25.68&lt;/D&gt;&lt;D xsi:type="xsd:double"&gt;6.18&lt;/D&gt;&lt;D xsi:type="xsd:double"&gt;3.35&lt;/D&gt;&lt;D xsi:type="xsd:double"&gt;17.27&lt;/D&gt;&lt;D xsi:type="xsd:double"&gt;14.43&lt;/D&gt;&lt;D xsi:type="xsd:double"&gt;10.73&lt;/D&gt;&lt;D xsi:type="xsd:double"&gt;8.55&lt;/D&gt;&lt;D xsi:type="xsd:double"&gt;12.5&lt;/D&gt;&lt;D xsi:type="xsd:double"&gt;8.85&lt;/D&gt;&lt;D xsi:type="xsd:double"&gt;28.97&lt;/D&gt;&lt;D xsi:type="xsd:double"&gt;5.9&lt;/D&gt;&lt;D xsi:type="xsd:double"&gt;12.93&lt;/D&gt;&lt;D xsi:type="xsd:double"&gt;8.88&lt;/D&gt;&lt;D xsi:type="xsd:double"&gt;72.64&lt;/D&gt;&lt;D xsi:type="xsd:double"&gt;2.07&lt;/D&gt;&lt;D xsi:type="xsd:double"&gt;4.02&lt;/D&gt;&lt;D xsi:type="xsd:double"&gt;11.15&lt;/D&gt;&lt;D xsi:type="xsd:double"&gt;3.2&lt;/D&gt;&lt;D xsi:type="xsd:double"&gt;5.89&lt;/D&gt;&lt;D xsi:type="xsd:double"&gt;5.18&lt;/D&gt;&lt;D xsi:type="xsd:double"&gt;4.9&lt;/D&gt;&lt;D xsi:type="xsd:double"&gt;4.41&lt;/D&gt;&lt;D xsi:type="xsd:double"&gt;12.92&lt;/D&gt;&lt;D xsi:type="xsd:double"&gt;17.28&lt;/D&gt;&lt;D xsi:type="xsd:double"&gt;12.39&lt;/D&gt;&lt;D xsi:type="xsd:double"&gt;5.57&lt;/D&gt;&lt;D xsi:type="xsd:double"&gt;11.74&lt;/D&gt;&lt;D xsi:type="xsd:double"&gt;12.9&lt;/D&gt;&lt;D xsi:type="xsd:double"&gt;7.23&lt;/D&gt;&lt;D xsi:type="xsd:double"&gt;2.58&lt;/D&gt;&lt;D xsi:type="xsd:double"&gt;12.27&lt;/D&gt;&lt;D xsi:type="xsd:double"&gt;6.84&lt;/D&gt;&lt;D xsi:type="xsd:double"&gt;4.61&lt;/D&gt;&lt;D xsi:type="xsd:double"&gt;1.07&lt;/D&gt;&lt;D xsi:type="xsd:double"&gt;7.95&lt;/D&gt;&lt;D xsi:type="xsd:double"&gt;5.19&lt;/D&gt;&lt;D xsi:type="xsd:double"&gt;5.4&lt;/D&gt;&lt;D xsi:type="xsd:double"&gt;16.68&lt;/D&gt;&lt;D xsi:type="xsd:double"&gt;15.89&lt;/D&gt;&lt;D xsi:type="xsd:double"&gt;12.65&lt;/D&gt;&lt;D xsi:type="xsd:double"&gt;3.71&lt;/D&gt;&lt;D xsi:type="xsd:double"&gt;4.35&lt;/D&gt;&lt;D xsi:type="xsd:double"&gt;3.87&lt;/D&gt;&lt;D xsi:type="xsd:double"&gt;19.68&lt;/D&gt;&lt;D xsi:type="xsd:double"&gt;0.59&lt;/D&gt;&lt;D xsi:type="xsd:double"&gt;3.71&lt;/D&gt;&lt;D xsi:type="xsd:double"&gt;5.63&lt;/D&gt;&lt;D xsi:type="xsd:double"&gt;13.03&lt;/D&gt;&lt;D xsi:type="xsd:double"&gt;1.27&lt;/D&gt;&lt;D xsi:type="xsd:double"&gt;3.13&lt;/D&gt;&lt;D xsi:type="xsd:double"&gt;338.03&lt;/D&gt;&lt;D xsi:type="xsd:double"&gt;149.19&lt;/D&gt;&lt;D xsi:type="xsd:double"&gt;61.59&lt;/D&gt;&lt;D xsi:type="xsd:double"&gt;21.85&lt;/D&gt;&lt;D xsi:type="xsd:double"&gt;28.52&lt;/D&gt;&lt;D xsi:type="xsd:double"&gt;105.23&lt;/D&gt;&lt;D xsi:type="xsd:double"&gt;44.89&lt;/D&gt;&lt;D xsi:type="xsd:double"&gt;19.37&lt;/D&gt;&lt;D xsi:type="xsd:double"&gt;22.34&lt;/D&gt;&lt;D xsi:type="xsd:double"&gt;13.35&lt;/D&gt;&lt;D xsi:type="xsd:double"&gt;11.13&lt;/D&gt;&lt;D xsi:type="xsd:double"&gt;20.56&lt;/D&gt;&lt;D xsi:type="xsd:double"&gt;175.03&lt;/D&gt;&lt;D xsi:type="xsd:double"&gt;32.83&lt;/D&gt;&lt;D xsi:type="xsd:double"&gt;48.54&lt;/D&gt;&lt;D xsi:type="xsd:double"&gt;8.49&lt;/D&gt;&lt;D xsi:type="xsd:double"&gt;22.51&lt;/D&gt;&lt;D xsi:type="xsd:double"&gt;10.31&lt;/D&gt;&lt;D xsi:type="xsd:double"&gt;140.08&lt;/D&gt;&lt;D xsi:type="xsd:double"&gt;46.98&lt;/D&gt;&lt;D xsi:type="xsd:double"&gt;8.37&lt;/D&gt;&lt;D xsi:type="xsd:double"&gt;6.29&lt;/D&gt;&lt;D xsi:type="xsd:double"&gt;12.81&lt;/D&gt;&lt;D xsi:type="xsd:double"&gt;14.21&lt;/D&gt;&lt;D xsi:type="xsd:double"&gt;3.83&lt;/D&gt;&lt;D xsi:type="xsd:double"&gt;8.65&lt;/D&gt;&lt;D xsi:type="xsd:double"&gt;7.91&lt;/D&gt;&lt;D xsi:type="xsd:double"&gt;8.83&lt;/D&gt;&lt;D xsi:type="xsd:double"&gt;6.48&lt;/D&gt;&lt;D xsi:type="xsd:double"&gt;27.34&lt;/D&gt;&lt;D xsi:type="xsd:double"&gt;7.38&lt;/D&gt;&lt;D xsi:type="xsd:double"&gt;12.58&lt;/D&gt;&lt;D xsi:type="xsd:double"&gt;10.08&lt;/D&gt;&lt;D xsi:type="xsd:double"&gt;6.54&lt;/D&gt;&lt;D xsi:type="xsd:double"&gt;55.95&lt;/D&gt;&lt;D xsi:type="xsd:double"&gt;25.63&lt;/D&gt;&lt;D xsi:type="xsd:double"&gt;15.5&lt;/D&gt;&lt;D xsi:type="xsd:double"&gt;12.06&lt;/D&gt;&lt;D xsi:type="xsd:double"&gt;6.22&lt;/D&gt;&lt;D xsi:type="xsd:double"&gt;11.99&lt;/D&gt;&lt;D xsi:type="xsd:double"&gt;10.69&lt;/D&gt;&lt;D xsi:type="xsd:double"&gt;46.9&lt;/D&gt;&lt;D xsi:type="xsd:double"&gt;67.12&lt;/D&gt;&lt;D xsi:type="xsd:double"&gt;26.91&lt;/D&gt;&lt;D xsi:type="xsd:double"&gt;33.32&lt;/D&gt;&lt;D xsi:type="xsd:double"&gt;13.04&lt;/D&gt;&lt;D xsi:type="xsd:double"&gt;14.86&lt;/D&gt;&lt;D xsi:type="xsd:double"&gt;17.9&lt;/D&gt;&lt;D xsi:type="xsd:double"&gt;10.99&lt;/D&gt;&lt;D xsi:type="xsd:double"&gt;6.06&lt;/D&gt;&lt;D xsi:type="xsd:double"&gt;9.71&lt;/D&gt;&lt;D xsi:type="xsd:double"&gt;4.25&lt;/D&gt;&lt;D xsi:type="xsd:double"&gt;15.14&lt;/D&gt;&lt;D xsi:type="xsd:double"&gt;4.6&lt;/D&gt;&lt;D xsi:type="xsd:double"&gt;6.71&lt;/D&gt;&lt;D xsi:type="xsd:double"&gt;4.59&lt;/D&gt;&lt;D xsi:type="xsd:double"&gt;9.99&lt;/D&gt;&lt;D xsi:type="xsd:double"&gt;6.6&lt;/D&gt;&lt;D xsi:type="xsd:double"&gt;201.93&lt;/D&gt;&lt;D xsi:type="xsd:double"&gt;41.83&lt;/D&gt;&lt;D xsi:type="xsd:double"&gt;90.8&lt;/D&gt;&lt;D xsi:type="xsd:double"&gt;81.11&lt;/D&gt;&lt;D xsi:type="xsd:double"&gt;25.39&lt;/D&gt;&lt;D xsi:type="xsd:double"&gt;346.89&lt;/D&gt;&lt;D xsi:type="xsd:double"&gt;32.52&lt;/D&gt;&lt;D xsi:type="xsd:double"&gt;182.56&lt;/D&gt;&lt;D xsi:type="xsd:double"&gt;97.42&lt;/D&gt;&lt;D xsi:type="xsd:double"&gt;61.41&lt;/D&gt;&lt;D xsi:type="xsd:double"&gt;120.85&lt;/D&gt;&lt;D xsi:type="xsd:double"&gt;66.46&lt;/D&gt;&lt;D xsi:type="xsd:double"&gt;67.21&lt;/D&gt;&lt;D xsi:type="xsd:double"&gt;102.83&lt;/D&gt;&lt;D xsi:type="xsd:double"&gt;68.53&lt;/D&gt;&lt;D xsi:type="xsd:double"&gt;61.06&lt;/D&gt;&lt;D xsi:type="xsd:double"&gt;34.51&lt;/D&gt;&lt;D xsi:type="xsd:double"&gt;112&lt;/D&gt;&lt;D xsi:type="xsd:double"&gt;72.86&lt;/D&gt;&lt;D xsi:type="xsd:double"&gt;38.02&lt;/D&gt;&lt;D xsi:type="xsd:double"&gt;569.23&lt;/D&gt;&lt;D xsi:type="xsd:double"&gt;449.01&lt;/D&gt;&lt;D xsi:type="xsd:double"&gt;197.39&lt;/D&gt;&lt;D xsi:type="xsd:double"&gt;203.66&lt;/D&gt;&lt;D xsi:type="xsd:double"&gt;88.9&lt;/D&gt;&lt;D xsi:type="xsd:double"&gt;120.48&lt;/D&gt;&lt;D xsi:type="xsd:double"&gt;91.56&lt;/D&gt;&lt;D xsi:type="xsd:double"&gt;53.33&lt;/D&gt;&lt;D xsi:type="xsd:double"&gt;60.71&lt;/D&gt;&lt;D xsi:type="xsd:double"&gt;84.78&lt;/D&gt;&lt;D xsi:type="xsd:double"&gt;83.39&lt;/D&gt;&lt;D xsi:type="xsd:double"&gt;63.52&lt;/D&gt;&lt;D xsi:type="xsd:double"&gt;42.66&lt;/D&gt;&lt;D xsi:type="xsd:double"&gt;197.82&lt;/D&gt;&lt;D xsi:type="xsd:double"&gt;130.47&lt;/D&gt;&lt;D xsi:type="xsd:double"&gt;105.59&lt;/D&gt;&lt;D xsi:type="xsd:double"&gt;49.21&lt;/D&gt;&lt;D xsi:type="xsd:double"&gt;81.45&lt;/D&gt;&lt;D xsi:type="xsd:double"&gt;116.04&lt;/D&gt;&lt;D xsi:type="xsd:double"&gt;85.38&lt;/D&gt;&lt;D xsi:type="xsd:double"&gt;107.06&lt;/D&gt;&lt;D xsi:type="xsd:double"&gt;87.81&lt;/D&gt;&lt;D xsi:type="xsd:double"&gt;59.88&lt;/D&gt;&lt;D xsi:type="xsd:double"&gt;405.89&lt;/D&gt;&lt;D xsi:type="xsd:double"&gt;76.92&lt;/D&gt;&lt;D xsi:type="xsd:double"&gt;169.52&lt;/D&gt;&lt;D xsi:type="xsd:double"&gt;187.9&lt;/D&gt;&lt;D xsi:type="xsd:double"&gt;67.12&lt;/D&gt;&lt;D xsi:type="xsd:double"&gt;99.83&lt;/D&gt;&lt;D xsi:type="xsd:double"&gt;135.99&lt;/D&gt;&lt;D xsi:type="xsd:double"&gt;79.66&lt;/D&gt;&lt;D xsi:type="xsd:double"&gt;60.52&lt;/D&gt;&lt;D xsi:type="xsd:double"&gt;28.05&lt;/D&gt;&lt;D xsi:type="xsd:double"&gt;42.63&lt;/D&gt;&lt;D xsi:type="xsd:double"&gt;31.13&lt;/D&gt;&lt;D xsi:type="xsd:double"&gt;19.33&lt;/D&gt;&lt;D xsi:type="xsd:double"&gt;12.66&lt;/D&gt;&lt;D xsi:type="xsd:double"&gt;26.58&lt;/D&gt;&lt;D xsi:type="xsd:double"&gt;49.4&lt;/D&gt;&lt;D xsi:type="xsd:double"&gt;20.38&lt;/D&gt;&lt;D xsi:type="xsd:double"&gt;35.51&lt;/D&gt;&lt;D xsi:type="xsd:double"&gt;27.38&lt;/D&gt;&lt;D xsi:type="xsd:double"&gt;19.08&lt;/D&gt;&lt;D xsi:type="xsd:double"&gt;97.21&lt;/D&gt;&lt;D xsi:type="xsd:double"&gt;202.74&lt;/D&gt;&lt;D xsi:type="xsd:double"&gt;60.04&lt;/D&gt;&lt;D xsi:type="xsd:double"&gt;172.7&lt;/D&gt;&lt;D xsi:type="xsd:double"&gt;382.81&lt;/D&gt;&lt;D xsi:type="xsd:double"&gt;215.32&lt;/D&gt;&lt;D xsi:type="xsd:double"&gt;132.28&lt;/D&gt;&lt;D xsi:type="xsd:double"&gt;59.18&lt;/D&gt;&lt;D xsi:type="xsd:double"&gt;68.6&lt;/D&gt;&lt;D xsi:type="xsd:double"&gt;59.06&lt;/D&gt;&lt;D xsi:type="xsd:double"&gt;78.24&lt;/D&gt;&lt;D xsi:type="xsd:double"&gt;140.65&lt;/D&gt;&lt;D xsi:type="xsd:double"&gt;17.04&lt;/D&gt;&lt;D xsi:type="xsd:double"&gt;17.34&lt;/D&gt;&lt;D xsi:type="xsd:double"&gt;18.04&lt;/D&gt;&lt;D xsi:type="xsd:double"&gt;15.26&lt;/D&gt;&lt;D xsi:type="xsd:double"&gt;36.4&lt;/D&gt;&lt;D xsi:type="xsd:double"&gt;21.24&lt;/D&gt;&lt;D xsi:type="xsd:double"&gt;41.72&lt;/D&gt;&lt;D xsi:type="xsd:double"&gt;26.54&lt;/D&gt;&lt;D xsi:type="xsd:double"&gt;32.7&lt;/D&gt;&lt;D xsi:type="xsd:double"&gt;50.85&lt;/D&gt;&lt;D xsi:type="xsd:double"&gt;40.13&lt;/D&gt;&lt;D xsi:type="xsd:double"&gt;20.03&lt;/D&gt;&lt;D xsi:type="xsd:double"&gt;17.98&lt;/D&gt;&lt;D xsi:type="xsd:double"&gt;29.78&lt;/D&gt;&lt;D xsi:type="xsd:double"&gt;23.71&lt;/D&gt;&lt;D xsi:type="xsd:double"&gt;26.14&lt;/D&gt;&lt;D xsi:type="xsd:double"&gt;18.95&lt;/D&gt;&lt;D xsi:type="xsd:double"&gt;55.67&lt;/D&gt;&lt;D xsi:type="xsd:double"&gt;39.12&lt;/D&gt;&lt;D xsi:type="xsd:double"&gt;19.96&lt;/D&gt;&lt;D xsi:type="xsd:double"&gt;30.52&lt;/D&gt;&lt;D xsi:type="xsd:double"&gt;28.42&lt;/D&gt;&lt;D xsi:type="xsd:double"&gt;57.64&lt;/D&gt;&lt;D xsi:type="xsd:double"&gt;27.83&lt;/D&gt;&lt;D xsi:type="xsd:double"&gt;27.76&lt;/D&gt;&lt;D xsi:type="xsd:double"&gt;31.39&lt;/D&gt;&lt;D xsi:type="xsd:double"&gt;20.6&lt;/D&gt;&lt;D xsi:type="xsd:double"&gt;29.8&lt;/D&gt;&lt;D xsi:type="xsd:double"&gt;24.21&lt;/D&gt;&lt;D xsi:type="xsd:double"&gt;32.93&lt;/D&gt;&lt;D xsi:type="xsd:double"&gt;14.98&lt;/D&gt;&lt;D xsi:type="xsd:double"&gt;17.69&lt;/D&gt;&lt;D xsi:type="xsd:double"&gt;46.29&lt;/D&gt;&lt;D xsi:type="xsd:double"&gt;20.83&lt;/D&gt;&lt;D xsi:type="xsd:double"&gt;49.89&lt;/D&gt;&lt;D xsi:type="xsd:double"&gt;20.58&lt;/D&gt;&lt;D xsi:type="xsd:double"&gt;27.99&lt;/D&gt;&lt;D xsi:type="xsd:double"&gt;24.19&lt;/D&gt;&lt;D xsi:type="xsd:double"&gt;10.47&lt;/D&gt;&lt;D xsi:type="xsd:double"&gt;17.64&lt;/D&gt;&lt;D xsi:type="xsd:double"&gt;15.73&lt;/D&gt;&lt;D xsi:type="xsd:double"&gt;34.54&lt;/D&gt;&lt;D xsi:type="xsd:double"&gt;29.95&lt;/D&gt;&lt;D xsi:type="xsd:double"&gt;433.86&lt;/D&gt;&lt;D xsi:type="xsd:double"&gt;159.16&lt;/D&gt;&lt;D xsi:type="xsd:double"&gt;53.51&lt;/D&gt;&lt;D xsi:type="xsd:double"&gt;45.15&lt;/D&gt;&lt;D xsi:type="xsd:double"&gt;53.28&lt;/D&gt;&lt;D xsi:type="xsd:double"&gt;41.27&lt;/D&gt;&lt;D xsi:type="xsd:double"&gt;29.43&lt;/D&gt;&lt;D xsi:type="xsd:double"&gt;46.51&lt;/D&gt;&lt;D xsi:type="xsd:double"&gt;27.02&lt;/D&gt;&lt;D xsi:type="xsd:double"&gt;24.83&lt;/D&gt;&lt;D xsi:type="xsd:double"&gt;30.69&lt;/D&gt;&lt;D xsi:type="xsd:double"&gt;141.3&lt;/D&gt;&lt;D xsi:type="xsd:double"&gt;33.96&lt;/D&gt;&lt;D xsi:type="xsd:double"&gt;32.08&lt;/D&gt;&lt;D xsi:type="xsd:double"&gt;32.5&lt;/D&gt;&lt;D xsi:type="xsd:double"&gt;61.12&lt;/D&gt;&lt;D xsi:type="xsd:double"&gt;49.35&lt;/D&gt;&lt;D xsi:type="xsd:double"&gt;36.76&lt;/D&gt;&lt;D xsi:type="xsd:double"&gt;23.69&lt;/D&gt;&lt;D xsi:type="xsd:double"&gt;16.5&lt;/D&gt;&lt;D xsi:type="xsd:double"&gt;15.82&lt;/D&gt;&lt;D xsi:type="xsd:double"&gt;19.95&lt;/D&gt;&lt;D xsi:type="xsd:double"&gt;15.01&lt;/D&gt;&lt;D xsi:type="xsd:double"&gt;38.72&lt;/D&gt;&lt;D xsi:type="xsd:double"&gt;22.36&lt;/D&gt;&lt;D xsi:type="xsd:double"&gt;43.43&lt;/D&gt;&lt;D xsi:type="xsd:double"&gt;23.81&lt;/D&gt;&lt;D xsi:type="xsd:double"&gt;10.41&lt;/D&gt;&lt;D xsi:type="xsd:double"&gt;18.62&lt;/D&gt;&lt;D xsi:type="xsd:double"&gt;15.43&lt;/D&gt;&lt;D xsi:type="xsd:double"&gt;45.08&lt;/D&gt;&lt;D xsi:type="xsd:double"&gt;27.91&lt;/D&gt;&lt;D xsi:type="xsd:double"&gt;30.91&lt;/D&gt;&lt;D xsi:type="xsd:double"&gt;32.21&lt;/D&gt;&lt;D xsi:type="xsd:double"&gt;16.95&lt;/D&gt;&lt;D xsi:type="xsd:double"&gt;8.64&lt;/D&gt;&lt;D xsi:type="xsd:double"&gt;13.96&lt;/D&gt;&lt;D xsi:type="xsd:double"&gt;9.9&lt;/D&gt;&lt;D xsi:type="xsd:double"&gt;45.16&lt;/D&gt;&lt;D xsi:type="xsd:double"&gt;38.56&lt;/D&gt;&lt;D xsi:type="xsd:double"&gt;22.51&lt;/D&gt;&lt;D xsi:type="xsd:double"&gt;15.21&lt;/D&gt;&lt;D xsi:type="xsd:double"&gt;19.19&lt;/D&gt;&lt;D xsi:type="xsd:double"&gt;17.09&lt;/D&gt;&lt;D xsi:type="xsd:double"&gt;35.15&lt;/D&gt;&lt;D xsi:type="xsd:double"&gt;45.14&lt;/D&gt;&lt;D xsi:type="xsd:double"&gt;12.82&lt;/D&gt;&lt;D xsi:type="xsd:double"&gt;20.71&lt;/D&gt;&lt;D xsi:type="xsd:double"&gt;41.85&lt;/D&gt;&lt;D xsi:type="xsd:double"&gt;26.06&lt;/D&gt;&lt;D xsi:type="xsd:double"&gt;10.63&lt;/D&gt;&lt;D xsi:type="xsd:double"&gt;29.78&lt;/D&gt;&lt;D xsi:type="xsd:double"&gt;8.34&lt;/D&gt;&lt;D xsi:type="xsd:double"&gt;16.28&lt;/D&gt;&lt;D xsi:type="xsd:double"&gt;21.02&lt;/D&gt;&lt;D xsi:type="xsd:double"&gt;52.19&lt;/D&gt;&lt;D xsi:type="xsd:double"&gt;36.13&lt;/D&gt;&lt;D xsi:type="xsd:double"&gt;14.14&lt;/D&gt;&lt;D xsi:type="xsd:double"&gt;9.92&lt;/D&gt;&lt;D xsi:type="xsd:double"&gt;23.26&lt;/D&gt;&lt;D xsi:type="xsd:double"&gt;219.78&lt;/D&gt;&lt;D xsi:type="xsd:double"&gt;542.74&lt;/D&gt;&lt;D xsi:type="xsd:double"&gt;76.76&lt;/D&gt;&lt;D xsi:type="xsd:double"&gt;41.45&lt;/D&gt;&lt;D xsi:type="xsd:double"&gt;43.88&lt;/D&gt;&lt;D xsi:type="xsd:double"&gt;43.51&lt;/D&gt;&lt;D xsi:type="xsd:double"&gt;53.28&lt;/D&gt;&lt;D xsi:type="xsd:double"&gt;52.12&lt;/D&gt;&lt;D xsi:type="xsd:double"&gt;47.08&lt;/D&gt;&lt;D xsi:type="xsd:double"&gt;42.71&lt;/D&gt;&lt;D xsi:type="xsd:double"&gt;43.01&lt;/D&gt;&lt;D xsi:type="xsd:double"&gt;411.99&lt;/D&gt;&lt;D xsi:type="xsd:double"&gt;211.58&lt;/D&gt;&lt;D xsi:type="xsd:double"&gt;58.22&lt;/D&gt;&lt;D xsi:type="xsd:double"&gt;30.88&lt;/D&gt;&lt;D xsi:type="xsd:double"&gt;152.06&lt;/D&gt;&lt;D xsi:type="xsd:double"&gt;48.62&lt;/D&gt;&lt;D xsi:type="xsd:double"&gt;30.96&lt;/D&gt;&lt;D xsi:type="xsd:double"&gt;35.05&lt;/D&gt;&lt;D xsi:type="xsd:double"&gt;28.75&lt;/D&gt;&lt;D xsi:type="xsd:double"&gt;15.38&lt;/D&gt;&lt;D xsi:type="xsd:double"&gt;21.7&lt;/D&gt;&lt;D xsi:type="xsd:double"&gt;13.64&lt;/D&gt;&lt;D xsi:type="xsd:double"&gt;21.03&lt;/D&gt;&lt;D xsi:type="xsd:double"&gt;16.98&lt;/D&gt;&lt;D xsi:type="xsd:double"&gt;20.18&lt;/D&gt;&lt;D xsi:type="xsd:double"&gt;11.82&lt;/D&gt;&lt;D xsi:type="xsd:double"&gt;23.62&lt;/D&gt;&lt;D xsi:type="xsd:double"&gt;50.23&lt;/D&gt;&lt;D xsi:type="xsd:double"&gt;30.88&lt;/D&gt;&lt;D xsi:type="xsd:double"&gt;5.91&lt;/D&gt;&lt;D xsi:type="xsd:double"&gt;22.54&lt;/D&gt;&lt;D xsi:type="xsd:double"&gt;8.39&lt;/D&gt;&lt;D xsi:type="xsd:double"&gt;9&lt;/D&gt;&lt;D xsi:type="xsd:double"&gt;16.08&lt;/D&gt;&lt;D xsi:type="xsd:double"&gt;11.56&lt;/D&gt;&lt;D xsi:type="xsd:double"&gt;7.59&lt;/D&gt;&lt;D xsi:type="xsd:double"&gt;25.18&lt;/D&gt;&lt;D xsi:type="xsd:double"&gt;4.56&lt;/D&gt;&lt;D xsi:type="xsd:double"&gt;17.22&lt;/D&gt;&lt;D xsi:type="xsd:double"&gt;6.31&lt;/D&gt;&lt;D xsi:type="xsd:double"&gt;28.23&lt;/D&gt;&lt;D xsi:type="xsd:double"&gt;14.8&lt;/D&gt;&lt;D xsi:type="xsd:double"&gt;16.07&lt;/D&gt;&lt;D xsi:type="xsd:double"&gt;11.17&lt;/D&gt;&lt;D xsi:type="xsd:double"&gt;14.48&lt;/D&gt;&lt;D xsi:type="xsd:double"&gt;8.46&lt;/D&gt;&lt;D xsi:type="xsd:double"&gt;13.24&lt;/D&gt;&lt;D xsi:type="xsd:double"&gt;69.07&lt;/D&gt;&lt;D xsi:type="xsd:double"&gt;18.88&lt;/D&gt;&lt;D xsi:type="xsd:double"&gt;24.62&lt;/D&gt;&lt;D xsi:type="xsd:double"&gt;25.28&lt;/D&gt;&lt;D xsi:type="xsd:double"&gt;10.54&lt;/D&gt;&lt;D xsi:type="xsd:double"&gt;18.84&lt;/D&gt;&lt;D xsi:type="xsd:double"&gt;12.46&lt;/D&gt;&lt;D xsi:type="xsd:double"&gt;9.54&lt;/D&gt;&lt;D xsi:type="xsd:double"&gt;14.11&lt;/D&gt;&lt;D xsi:type="xsd:double"&gt;31.07&lt;/D&gt;&lt;D xsi:type="xsd:double"&gt;30.42&lt;/D&gt;&lt;D xsi:type="xsd:double"&gt;35.06&lt;/D&gt;&lt;D xsi:type="xsd:double"&gt;34.49&lt;/D&gt;&lt;D xsi:type="xsd:double"&gt;21.24&lt;/D&gt;&lt;D xsi:type="xsd:double"&gt;16.96&lt;/D&gt;&lt;D xsi:type="xsd:double"&gt;11.7&lt;/D&gt;&lt;D xsi:type="xsd:double"&gt;38.44&lt;/D&gt;&lt;D xsi:type="xsd:double"&gt;29.72&lt;/D&gt;&lt;D xsi:type="xsd:double"&gt;27.65&lt;/D&gt;&lt;D xsi:type="xsd:double"&gt;57.29&lt;/D&gt;&lt;D xsi:type="xsd:double"&gt;54.59&lt;/D&gt;&lt;D xsi:type="xsd:double"&gt;19.7&lt;/D&gt;&lt;D xsi:type="xsd:double"&gt;25.74&lt;/D&gt;&lt;D xsi:type="xsd:double"&gt;62.6&lt;/D&gt;&lt;D xsi:type="xsd:double"&gt;53.29&lt;/D&gt;&lt;D xsi:type="xsd:double"&gt;30.59&lt;/D&gt;&lt;D xsi:type="xsd:double"&gt;49.16&lt;/D&gt;&lt;D xsi:type="xsd:double"&gt;30.48&lt;/D&gt;&lt;D xsi:type="xsd:double"&gt;41.92&lt;/D&gt;&lt;D xsi:type="xsd:double"&gt;50.56&lt;/D&gt;&lt;D xsi:type="xsd:double"&gt;43.93&lt;/D&gt;&lt;D xsi:type="xsd:double"&gt;73.7&lt;/D&gt;&lt;D xsi:type="xsd:double"&gt;25.09&lt;/D&gt;&lt;D xsi:type="xsd:double"&gt;21.11&lt;/D&gt;&lt;D xsi:type="xsd:double"&gt;29.04&lt;/D&gt;&lt;D xsi:type="xsd:double"&gt;48.2&lt;/D&gt;&lt;D xsi:type="xsd:double"&gt;102.51&lt;/D&gt;&lt;D xsi:type="xsd:double"&gt;56.23&lt;/D&gt;&lt;D xsi:type="xsd:double"&gt;175.1&lt;/D&gt;&lt;D xsi:type="xsd:double"&gt;72.35&lt;/D&gt;&lt;D xsi:type="xsd:double"&gt;78.13&lt;/D&gt;&lt;D xsi:type="xsd:double"&gt;20.18&lt;/D&gt;&lt;D xsi:type="xsd:double"&gt;46.99&lt;/D&gt;&lt;D xsi:type="xsd:double"&gt;27.78&lt;/D&gt;&lt;D xsi:type="xsd:double"&gt;86.56&lt;/D&gt;&lt;D xsi:type="xsd:double"&gt;141.55&lt;/D&gt;&lt;D xsi:type="xsd:double"&gt;117.9&lt;/D&gt;&lt;D xsi:type="xsd:double"&gt;54.95&lt;/D&gt;&lt;D xsi:type="xsd:double"&gt;38.14&lt;/D&gt;&lt;D xsi:type="xsd:double"&gt;22.61&lt;/D&gt;&lt;D xsi:type="xsd:double"&gt;37.33&lt;/D&gt;&lt;D xsi:type="xsd:double"&gt;101.57&lt;/D&gt;&lt;D xsi:type="xsd:double"&gt;37.46&lt;/D&gt;&lt;D xsi:type="xsd:double"&gt;15.77&lt;/D&gt;&lt;D xsi:type="xsd:double"&gt;13.58&lt;/D&gt;&lt;D xsi:type="xsd:double"&gt;34.99&lt;/D&gt;&lt;D xsi:type="xsd:double"&gt;14.28&lt;/D&gt;&lt;D xsi:type="xsd:double"&gt;24.64&lt;/D&gt;&lt;D xsi:type="xsd:double"&gt;22.86&lt;/D&gt;&lt;D xsi:type="xsd:double"&gt;23.07&lt;/D&gt;&lt;D xsi:type="xsd:double"&gt;25.45&lt;/D&gt;&lt;D xsi:type="xsd:double"&gt;33.78&lt;/D&gt;&lt;D xsi:type="xsd:double"&gt;18.87&lt;/D&gt;&lt;D xsi:type="xsd:double"&gt;19&lt;/D&gt;&lt;D xsi:type="xsd:double"&gt;15.44&lt;/D&gt;&lt;D xsi:type="xsd:double"&gt;25.37&lt;/D&gt;&lt;D xsi:type="xsd:double"&gt;29.5&lt;/D&gt;&lt;D xsi:type="xsd:double"&gt;25.07&lt;/D&gt;&lt;D xsi:type="xsd:double"&gt;26.45&lt;/D&gt;&lt;D xsi:type="xsd:double"&gt;34.4&lt;/D&gt;&lt;D xsi:type="xsd:double"&gt;89.67&lt;/D&gt;&lt;D xsi:type="xsd:double"&gt;48.02&lt;/D&gt;&lt;/FQL&gt;&lt;FQL&gt;&lt;Q&gt;USDEUR^JULIAN(P_PRICE_AVG(12/31/2015,12/31/2016).DATES)&lt;/Q&gt;&lt;R&gt;1&lt;/R&gt;&lt;C&gt;1&lt;/C&gt;&lt;D xsi:type="xsd:long"&gt;42734&lt;/D&gt;&lt;/FQL&gt;&lt;FQL&gt;&lt;Q&gt;USDEUR^P_PRICE_AVG(12/31/2015,12/31/2016)&lt;/Q&gt;&lt;R&gt;1&lt;/R&gt;&lt;C&gt;1&lt;/C&gt;&lt;D xsi:type="xsd:double"&gt;0.904291&lt;/D&gt;&lt;/FQL&gt;&lt;FQL&gt;&lt;Q&gt;USDDKK^P_PRICE_AVG(12/31/2015,12/31/2016)&lt;/Q&gt;&lt;R&gt;1&lt;/R&gt;&lt;C&gt;1&lt;/C&gt;&lt;D xsi:type="xsd:double"&gt;6.7327547&lt;/D&gt;&lt;/FQL&gt;&lt;FQL&gt;&lt;Q&gt;NOKUSD^P_PRICE_AVG(12/31/2015,12/31/2016)&lt;/Q&gt;&lt;R&gt;1&lt;/R&gt;&lt;C&gt;1&lt;/C&gt;&lt;D xsi:type="xsd:double"&gt;0.11907861&lt;/D&gt;&lt;/FQL&gt;&lt;FQL&gt;&lt;Q&gt;USDRUB^P_PRICE_AVG(12/31/2015,12/31/2016)&lt;/Q&gt;&lt;R&gt;1&lt;/R&gt;&lt;C&gt;1&lt;/C&gt;&lt;D xsi:type="xsd:double"&gt;67.028114&lt;/D&gt;&lt;/FQL&gt;&lt;FQL&gt;&lt;Q&gt;SALM-FDS^P_PRICE_AVG(12/31/2015,12/31/2016)&lt;/Q&gt;&lt;R&gt;0&lt;/R&gt;&lt;C&gt;0&lt;/C&gt;&lt;/FQL&gt;&lt;FQL&gt;&lt;Q&gt;MOWI-NO^JULIAN(P_PRICE_AVG(1/1/2019,12/31/2019,,USD).DATES)&lt;/Q&gt;&lt;R&gt;1&lt;/R&gt;&lt;C&gt;1&lt;/C&gt;&lt;D xsi:type="xsd:long"&gt;43829&lt;/D&gt;&lt;/FQL&gt;&lt;FQL&gt;&lt;Q&gt;MOWI-NO^P_PRICE_AVG(1/1/2019,12/31/2019,,USD)&lt;/Q&gt;&lt;R&gt;1&lt;/R&gt;&lt;C&gt;1&lt;/C&gt;&lt;D xsi:type="xsd:double"&gt;23.634106&lt;/D&gt;&lt;/FQL&gt;&lt;FQL&gt;&lt;Q&gt;BAKKA-NO^P_PRICE_AVG(1/1/2019,12/31/2019,,USD)&lt;/Q&gt;&lt;R&gt;1&lt;/R&gt;&lt;C&gt;1&lt;/C&gt;&lt;D xsi:type="xsd:double"&gt;57.02963&lt;/D&gt;&lt;/FQL&gt;&lt;FQL&gt;&lt;Q&gt;SALM-NO^P_PRICE_AVG(1/1/2019,12/31/2019,,USD)&lt;/Q&gt;&lt;R&gt;1&lt;/R&gt;&lt;C&gt;1&lt;/C&gt;&lt;D xsi:type="xsd:double"&gt;47.548557&lt;/D&gt;&lt;/FQL&gt;&lt;FQL&gt;&lt;Q&gt;GSF-NO^P_PRICE_AVG(1/1/2019,12/31/2019,,USD)&lt;/Q&gt;&lt;R&gt;1&lt;/R&gt;&lt;C&gt;1&lt;/C&gt;&lt;D xsi:type="xsd:double"&gt;13.389102&lt;/D&gt;&lt;/FQL&gt;&lt;FQL&gt;&lt;Q&gt;LSG-NO^P_PRICE_AVG(1/1/2019,12/31/2019,,USD)&lt;/Q&gt;&lt;R&gt;1&lt;/R&gt;&lt;C&gt;1&lt;/C&gt;&lt;D xsi:type="xsd:double"&gt;6.9835906&lt;/D&gt;&lt;/FQL&gt;&lt;FQL&gt;&lt;Q&gt;SALMOCAM-CL^P_PRICE_AVG(1/1/2019,12/31/2019,,USD)&lt;/Q&gt;&lt;R&gt;1&lt;/R&gt;&lt;C&gt;1&lt;/C&gt;&lt;D xsi:type="xsd:double"&gt;8.480893&lt;/D&gt;&lt;/FQL&gt;&lt;FQL&gt;&lt;Q&gt;AQUA-RU^P_PRICE_AVG(1/1/2019,12/31/2019,,USD)&lt;/Q&gt;&lt;R&gt;1&lt;/R&gt;&lt;C&gt;1&lt;/C&gt;&lt;D xsi:type="xsd:double"&gt;3.2139282&lt;/D&gt;&lt;/FQL&gt;&lt;FQL&gt;&lt;Q&gt;USDEUR^JULIAN(P_PRICE_AVG(12/31/2014,12/31/2015).DATES)&lt;/Q&gt;&lt;R&gt;1&lt;/R&gt;&lt;C&gt;1&lt;/C&gt;&lt;D xsi:type="xsd:long"&gt;42369&lt;/D&gt;&lt;/FQL&gt;&lt;FQL&gt;&lt;Q&gt;USDEUR^P_PRICE_AVG(12/31/2014,12/31/2015)&lt;/Q&gt;&lt;R&gt;1&lt;/R&gt;&lt;C&gt;1&lt;/C&gt;&lt;D xsi:type="xsd:double"&gt;0.9013293&lt;/D&gt;&lt;/FQL&gt;&lt;FQL&gt;&lt;Q&gt;USDDKK^P_PRICE_AVG(12/31/2014,12/31/2015)&lt;/Q&gt;&lt;R&gt;1&lt;/R&gt;&lt;C&gt;1&lt;/C&gt;&lt;D xsi:type="xsd:double"&gt;6.7227883&lt;/D&gt;&lt;/FQL&gt;&lt;FQL&gt;&lt;Q&gt;NOKUSD^P_PRICE_AVG(12/31/2014,12/31/2015)&lt;/Q&gt;&lt;R&gt;1&lt;/R&gt;&lt;C&gt;1&lt;/C&gt;&lt;D xsi:type="xsd:double"&gt;0.12422568&lt;/D&gt;&lt;/FQL&gt;&lt;FQL&gt;&lt;Q&gt;USDRUB^P_PRICE_AVG(12/31/2014,12/31/2015)&lt;/Q&gt;&lt;R&gt;1&lt;/R&gt;&lt;C&gt;1&lt;/C&gt;&lt;D xsi:type="xsd:double"&gt;61.262505&lt;/D&gt;&lt;/FQL&gt;&lt;FQL&gt;&lt;Q&gt;SALM-FDS^P_PRICE_AVG(12/31/2014,12/31/2015)&lt;/Q&gt;&lt;R&gt;0&lt;/R&gt;&lt;C&gt;0&lt;/C&gt;&lt;/FQL&gt;&lt;FQL&gt;&lt;Q&gt;SALM-FDS^JULIAN(FG_PRICE(-2AY,0).DATES)&lt;/Q&gt;&lt;R&gt;505&lt;/R&gt;&lt;C&gt;1&lt;/C&gt;&lt;D xsi:type="xsd:long"&gt;43707&lt;/D&gt;&lt;D xsi:type="xsd:long"&gt;43711&lt;/D&gt;&lt;D xsi:type="xsd:long"&gt;43712&lt;/D&gt;&lt;D xsi:type="xsd:long"&gt;43713&lt;/D&gt;&lt;D xsi:type="xsd:long"&gt;43714&lt;/D&gt;&lt;D xsi:type="xsd:long"&gt;43717&lt;/D&gt;&lt;D xsi:type="xsd:long"&gt;43718&lt;/D&gt;&lt;D xsi:type="xsd:long"&gt;43719&lt;/D&gt;&lt;D xsi:type="xsd:long"&gt;43720&lt;/D&gt;&lt;D xsi:type="xsd:long"&gt;43721&lt;/D&gt;&lt;D xsi:type="xsd:long"&gt;43724&lt;/D&gt;&lt;D xsi:type="xsd:long"&gt;43725&lt;/D&gt;&lt;D xsi:type="xsd:long"&gt;43726&lt;/D&gt;&lt;D xsi:type="xsd:long"&gt;43727&lt;/D&gt;&lt;D xsi:type="xsd:long"&gt;43728&lt;/D&gt;&lt;D xsi:type="xsd:long"&gt;43731&lt;/D&gt;&lt;D xsi:type="xsd:long"&gt;43732&lt;/D&gt;&lt;D xsi:type="xsd:long"&gt;43733&lt;/D&gt;&lt;D xsi:type="xsd:long"&gt;43734&lt;/D&gt;&lt;D xsi:type="xsd:long"&gt;43735&lt;/D&gt;&lt;D xsi:type="xsd:long"&gt;43738&lt;/D&gt;&lt;D xsi:type="xsd:long"&gt;43739&lt;/D&gt;&lt;D xsi:type="xsd:long"&gt;43740&lt;/D&gt;&lt;D xsi:type="xsd:long"&gt;43741&lt;/D&gt;&lt;D xsi:type="xsd:long"&gt;43742&lt;/D&gt;&lt;D xsi:type="xsd:long"&gt;43745&lt;/D&gt;&lt;D xsi:type="xsd:long"&gt;43746&lt;/D&gt;&lt;D xsi:type="xsd:long"&gt;43747&lt;/D&gt;&lt;D xsi:type="xsd:long"&gt;43748&lt;/D&gt;&lt;D xsi:type="xsd:long"&gt;43749&lt;/D&gt;&lt;D xsi:type="xsd:long"&gt;43752&lt;/D&gt;&lt;D xsi:type="xsd:long"&gt;43753&lt;/D&gt;&lt;D xsi:type="xsd:long"&gt;43754&lt;/D&gt;&lt;D xsi:type="xsd:long"&gt;43755&lt;/D&gt;&lt;D xsi:type="xsd:long"&gt;43756&lt;/D&gt;&lt;D xsi:type="xsd:long"&gt;43759&lt;/D&gt;&lt;D xsi:type="xsd:long"&gt;43760&lt;/D&gt;&lt;D xsi:type="xsd:long"&gt;43761&lt;/D&gt;&lt;D xsi:type="xsd:long"&gt;43762&lt;/D&gt;&lt;D xsi:type="xsd:long"&gt;43763&lt;/D&gt;&lt;D xsi:type="xsd:long"&gt;43766&lt;/D&gt;&lt;D xsi:type="xsd:long"&gt;43767&lt;/D&gt;&lt;D xsi:type="xsd:long"&gt;43768&lt;/D&gt;&lt;D xsi:type="xsd:long"&gt;43769&lt;/D&gt;&lt;D xsi:type="xsd:long"&gt;43770&lt;/D&gt;&lt;D xsi:type="xsd:long"&gt;43773&lt;/D&gt;&lt;D xsi:type="xsd:long"&gt;43774&lt;/D&gt;&lt;D xsi:type="xsd:long"&gt;43775&lt;/D&gt;&lt;D xsi:type="xsd:long"&gt;43776&lt;/D&gt;&lt;D xsi:type="xsd:long"&gt;43777&lt;/D&gt;&lt;D xsi:type="xsd:long"&gt;43780&lt;/D&gt;&lt;D xsi:type="xsd:long"&gt;43781&lt;/D&gt;&lt;D xsi:type="xsd:long"&gt;43782&lt;/D&gt;&lt;D xsi:type="xsd:long"&gt;43783&lt;/D&gt;&lt;D xsi:type="xsd:long"&gt;43784&lt;/D&gt;&lt;D xsi:type="xsd:long"&gt;43787&lt;/D&gt;&lt;D xsi:type="xsd:long"&gt;43788&lt;/D&gt;&lt;D xsi:type="xsd:long"&gt;43789&lt;/D&gt;&lt;D xsi:type="xsd:long"&gt;43790&lt;/D&gt;&lt;D xsi:type="xsd:long"&gt;43791&lt;/D&gt;&lt;D xsi:type="xsd:long"&gt;43794&lt;/D&gt;&lt;D xsi:type="xsd:long"&gt;43795&lt;/D&gt;&lt;D xsi:type="xsd:long"&gt;43796&lt;/D&gt;&lt;D xsi:type="xsd:long"&gt;43798&lt;/D&gt;&lt;D xsi:type="xsd:long"&gt;43801&lt;/D&gt;&lt;D xsi:type="xsd:long"&gt;43802&lt;/D&gt;&lt;D xsi:type="xsd:long"&gt;43803&lt;/D&gt;&lt;D xsi:type="xsd:long"&gt;43804&lt;/D&gt;&lt;D xsi:type="xsd:long"&gt;43805&lt;/D&gt;&lt;D xsi:type="xsd:long"&gt;43808&lt;/D&gt;&lt;D xsi:type="xsd:long"&gt;43809&lt;/D&gt;&lt;D xsi:type="xsd:long"&gt;43810&lt;/D&gt;&lt;D xsi:type="xsd:long"&gt;43811&lt;/D&gt;&lt;D xsi:type="xsd:long"&gt;43812&lt;/D&gt;&lt;D xsi:type="xsd:long"&gt;43815&lt;/D&gt;&lt;D xsi:type="xsd:long"&gt;43816&lt;/D&gt;&lt;D xsi:type="xsd:long"&gt;43817&lt;/D&gt;&lt;D xsi:type="xsd:long"&gt;43818&lt;/D&gt;&lt;D xsi:type="xsd:long"&gt;43819&lt;/D&gt;&lt;D xsi:type="xsd:long"&gt;43822&lt;/D&gt;&lt;D xsi:type="xsd:long"&gt;43823&lt;/D&gt;&lt;D xsi:type="xsd:long"&gt;43825&lt;/D&gt;&lt;D xsi:type="xsd:long"&gt;43826&lt;/D&gt;&lt;D xsi:type="xsd:long"&gt;43829&lt;/D&gt;&lt;D xsi:type="xsd:long"&gt;43830&lt;/D&gt;&lt;D xsi:type="xsd:long"&gt;43832&lt;/D&gt;&lt;D xsi:type="xsd:long"&gt;43833&lt;/D&gt;&lt;D xsi:type="xsd:long"&gt;43836&lt;/D&gt;&lt;D xsi:type="xsd:long"&gt;43837&lt;/D&gt;&lt;D xsi:type="xsd:long"&gt;43838&lt;/D&gt;&lt;D xsi:type="xsd:long"&gt;43839&lt;/D&gt;&lt;D xsi:type="xsd:long"&gt;43840&lt;/D&gt;&lt;D xsi:type="xsd:long"&gt;43843&lt;/D&gt;&lt;D xsi:type="xsd:long"&gt;43844&lt;/D&gt;&lt;D xsi:type="xsd:long"&gt;43845&lt;/D&gt;&lt;D xsi:type="xsd:long"&gt;43846&lt;/D&gt;&lt;D xsi:type="xsd:long"&gt;43847&lt;/D&gt;&lt;D xsi:type="xsd:long"&gt;43851&lt;/D&gt;&lt;D xsi:type="xsd:long"&gt;43852&lt;/D&gt;&lt;D xsi:type="xsd:long"&gt;43853&lt;/D&gt;&lt;D xsi:type="xsd:long"&gt;43854&lt;/D&gt;&lt;D xsi:type="xsd:long"&gt;43857&lt;/D&gt;&lt;D xsi:type="xsd:long"&gt;43858&lt;/D&gt;&lt;D xsi:type="xsd:long"&gt;43859&lt;/D&gt;&lt;D xsi:type="xsd:long"&gt;43860&lt;/D&gt;&lt;D xsi:type="xsd:long"&gt;43861&lt;/D&gt;&lt;D xsi:type="xsd:long"&gt;43864&lt;/D&gt;&lt;D xsi:type="xsd:long"&gt;43865&lt;/D&gt;&lt;D xsi:type="xsd:long"&gt;43866&lt;/D&gt;&lt;D xsi:type="xsd:long"&gt;43867&lt;/D&gt;&lt;D xsi:type="xsd:long"&gt;43868&lt;/D&gt;&lt;D xsi:type="xsd:long"&gt;43871&lt;/D&gt;&lt;D xsi:type="xsd:long"&gt;43872&lt;/D&gt;&lt;D xsi:type="xsd:long"&gt;43873&lt;/D&gt;&lt;D xsi:type="xsd:long"&gt;43874&lt;/D&gt;&lt;D xsi:type="xsd:long"&gt;43875&lt;/D&gt;&lt;D xsi:type="xsd:long"&gt;43879&lt;/D&gt;&lt;D xsi:type="xsd:long"&gt;43880&lt;/D&gt;&lt;D xsi:type="xsd:long"&gt;43881&lt;/D&gt;&lt;D xsi:type="xsd:long"&gt;43882&lt;/D&gt;&lt;D xsi:type="xsd:long"&gt;43885&lt;/D&gt;&lt;D xsi:type="xsd:long"&gt;43886&lt;/D&gt;&lt;D xsi:type="xsd:long"&gt;43887&lt;/D&gt;&lt;D xsi:type="xsd:long"&gt;43888&lt;/D&gt;&lt;D xsi:type="xsd:long"&gt;43889&lt;/D&gt;&lt;D xsi:type="xsd:long"&gt;43892&lt;/D&gt;&lt;D xsi:type="xsd:long"&gt;43893&lt;/D&gt;&lt;D xsi:type="xsd:long"&gt;43894&lt;/D&gt;&lt;D xsi:type="xsd:long"&gt;43895&lt;/D&gt;&lt;D xsi:type="xsd:long"&gt;43896&lt;/D&gt;&lt;D xsi:type="xsd:long"&gt;43899&lt;/D&gt;&lt;D xsi:type="xsd:long"&gt;43900&lt;/D&gt;&lt;D xsi:type="xsd:long"&gt;43901&lt;/D&gt;&lt;D xsi:type="xsd:long"&gt;43902&lt;/D&gt;&lt;D xsi:type="xsd:long"&gt;43903&lt;/D&gt;&lt;D xsi:type="xsd:long"&gt;43906&lt;/D&gt;&lt;D xsi:type="xsd:long"&gt;43907&lt;/D&gt;&lt;D xsi:type="xsd:long"&gt;43908&lt;/D&gt;&lt;D xsi:type="xsd:long"&gt;43909&lt;/D&gt;&lt;D xsi:type="xsd:long"&gt;43910&lt;/D&gt;&lt;D xsi:type="xsd:long"&gt;43913&lt;/D&gt;&lt;D xsi:type="xsd:long"&gt;43914&lt;/D&gt;&lt;D xsi:type="xsd:long"&gt;43915&lt;/D&gt;&lt;D xsi:type="xsd:long"&gt;43916&lt;/D&gt;&lt;D xsi:type="xsd:long"&gt;43917&lt;/D&gt;&lt;D xsi:type="xsd:long"&gt;43920&lt;/D&gt;&lt;D xsi:type="xsd:long"&gt;43921&lt;/D&gt;&lt;D xsi:type="xsd:long"&gt;43922&lt;/D&gt;&lt;D xsi:type="xsd:long"&gt;43923&lt;/D&gt;&lt;D xsi:type="xsd:long"&gt;43924&lt;/D&gt;&lt;D xsi:type="xsd:long"&gt;43927&lt;/D&gt;&lt;D xsi:type="xsd:long"&gt;43928&lt;/D&gt;&lt;D xsi:type="xsd:long"&gt;43929&lt;/D&gt;&lt;D xsi:type="xsd:long"&gt;43930&lt;/D&gt;&lt;D xsi:type="xsd:long"&gt;43934&lt;/D&gt;&lt;D xsi:type="xsd:long"&gt;43935&lt;/D&gt;&lt;D xsi:type="xsd:long"&gt;43936&lt;/D&gt;&lt;D xsi:type="xsd:long"&gt;43937&lt;/D&gt;&lt;D xsi:type="xsd:long"&gt;43938&lt;/D&gt;&lt;D xsi:type="xsd:long"&gt;43941&lt;/D&gt;&lt;D xsi:type="xsd:long"&gt;43942&lt;/D&gt;&lt;D xsi:type="xsd:long"&gt;43943&lt;/D&gt;&lt;D xsi:type="xsd:long"&gt;43944&lt;/D&gt;&lt;D xsi:type="xsd:long"&gt;43945&lt;/D&gt;&lt;D xsi:type="xsd:long"&gt;43948&lt;/D&gt;&lt;D xsi:type="xsd:long"&gt;43949&lt;/D&gt;&lt;D xsi:type="xsd:long"&gt;43950&lt;/D&gt;&lt;D xsi:type="xsd:long"&gt;43951&lt;/D&gt;&lt;D xsi:type="xsd:long"&gt;43952&lt;/D&gt;&lt;D xsi:type="xsd:long"&gt;43955&lt;/D&gt;&lt;D xsi:type="xsd:long"&gt;43956&lt;/D&gt;&lt;D xsi:type="xsd:long"&gt;43957&lt;/D&gt;&lt;D xsi:type="xsd:long"&gt;43958&lt;/D&gt;&lt;D xsi:type="xsd:long"&gt;43959&lt;/D&gt;&lt;D xsi:type="xsd:long"&gt;43962&lt;/D&gt;&lt;D xsi:type="xsd:long"&gt;43963&lt;/D&gt;&lt;D xsi:type="xsd:long"&gt;43964&lt;/D&gt;&lt;D xsi:type="xsd:long"&gt;43965&lt;/D&gt;&lt;D xsi:type="xsd:long"&gt;43966&lt;/D&gt;&lt;D xsi:type="xsd:long"&gt;43969&lt;/D&gt;&lt;D xsi:type="xsd:long"&gt;43970&lt;/D&gt;&lt;D xsi:type="xsd:long"&gt;43971&lt;/D&gt;&lt;D xsi:type="xsd:long"&gt;43972&lt;/D&gt;&lt;D xsi:type="xsd:long"&gt;43973&lt;/D&gt;&lt;D xsi:type="xsd:long"&gt;43977&lt;/D&gt;&lt;D xsi:type="xsd:long"&gt;43978&lt;/D&gt;&lt;D xsi:type="xsd:long"&gt;43979&lt;/D&gt;&lt;D xsi:type="xsd:long"&gt;43980&lt;/D&gt;&lt;D xsi:type="xsd:long"&gt;43983&lt;/D&gt;&lt;D xsi:type="xsd:long"&gt;43984&lt;/D&gt;&lt;D xsi:type="xsd:long"&gt;43985&lt;/D&gt;&lt;D xsi:type="xsd:long"&gt;43986&lt;/D&gt;&lt;D xsi:type="xsd:long"&gt;43987&lt;/D&gt;&lt;D xsi:type="xsd:long"&gt;43990&lt;/D&gt;&lt;D xsi:type="xsd:long"&gt;43991&lt;/D&gt;&lt;D xsi:type="xsd:long"&gt;43992&lt;/D&gt;&lt;D xsi:type="xsd:long"&gt;43993&lt;/D&gt;&lt;D xsi:type="xsd:long"&gt;43994&lt;/D&gt;&lt;D xsi:type="xsd:long"&gt;43997&lt;/D&gt;&lt;D xsi:type="xsd:long"&gt;43998&lt;/D&gt;&lt;D xsi:type="xsd:long"&gt;43999&lt;/D&gt;&lt;D xsi:type="xsd:long"&gt;44000&lt;/D&gt;&lt;D xsi:type="xsd:long"&gt;44001&lt;/D&gt;&lt;D xsi:type="xsd:long"&gt;44004&lt;/D&gt;&lt;D xsi:type="xsd:long"&gt;44005&lt;/D&gt;&lt;D xsi:type="xsd:long"&gt;44006&lt;/D&gt;&lt;D xsi:type="xsd:long"&gt;44007&lt;/D&gt;&lt;D xsi:type="xsd:long"&gt;44008&lt;/D&gt;&lt;D xsi:type="xsd:long"&gt;44011&lt;/D&gt;&lt;D xsi:type="xsd:long"&gt;44012&lt;/D&gt;&lt;D xsi:type="xsd:long"&gt;44013&lt;/D&gt;&lt;D xsi:type="xsd:long"&gt;44014&lt;/D&gt;&lt;D xsi:type="xsd:long"&gt;44018&lt;/D&gt;&lt;D xsi:type="xsd:long"&gt;44019&lt;/D&gt;&lt;D xsi:type="xsd:long"&gt;44020&lt;/D&gt;&lt;D xsi:type="xsd:long"&gt;44021&lt;/D&gt;&lt;D xsi:type="xsd:long"&gt;44022&lt;/D&gt;&lt;D xsi:type="xsd:long"&gt;44025&lt;/D&gt;&lt;D xsi:type="xsd:long"&gt;44026&lt;/D&gt;&lt;D xsi:type="xsd:long"&gt;44027&lt;/D&gt;&lt;D xsi:type="xsd:long"&gt;44028&lt;/D&gt;&lt;D xsi:type="xsd:long"&gt;44029&lt;/D&gt;&lt;D xsi:type="xsd:long"&gt;44032&lt;/D&gt;&lt;D xsi:type="xsd:long"&gt;44033&lt;/D&gt;&lt;D xsi:type="xsd:long"&gt;44034&lt;/D&gt;&lt;D xsi:type="xsd:long"&gt;44035&lt;/D&gt;&lt;D xsi:type="xsd:long"&gt;44036&lt;/D&gt;&lt;D xsi:type="xsd:long"&gt;44039&lt;/D&gt;&lt;D xsi:type="xsd:long"&gt;44040&lt;/D&gt;&lt;D xsi:type="xsd:long"&gt;44041&lt;/D&gt;&lt;D xsi:type="xsd:long"&gt;44042&lt;/D&gt;&lt;D xsi:type="xsd:long"&gt;44043&lt;/D&gt;&lt;D xsi:type="xsd:long"&gt;44046&lt;/D&gt;&lt;D xsi:type="xsd:long"&gt;44047&lt;/D&gt;&lt;D xsi:type="xsd:long"&gt;44048&lt;/D&gt;&lt;D xsi:type="xsd:long"&gt;44049&lt;/D&gt;&lt;D xsi:type="xsd:long"&gt;44050&lt;/D&gt;&lt;D xsi:type="xsd:long"&gt;44053&lt;/D&gt;&lt;D xsi:type="xsd:long"&gt;44054&lt;/D&gt;&lt;D xsi:type="xsd:long"&gt;44055&lt;/D&gt;&lt;D xsi:type="xsd:long"&gt;44056&lt;/D&gt;&lt;D xsi:type="xsd:long"&gt;44057&lt;/D&gt;&lt;D xsi:type="xsd:long"&gt;44060&lt;/D&gt;&lt;D xsi:type="xsd:long"&gt;44061&lt;/D&gt;&lt;D xsi:type="xsd:long"&gt;44062&lt;/D&gt;&lt;D xsi:type="xsd:long"&gt;44063&lt;/D&gt;&lt;D xsi:type="xsd:long"&gt;44064&lt;/D&gt;&lt;D xsi:type="xsd:long"&gt;44067&lt;/D&gt;&lt;D xsi:type="xsd:long"&gt;44068&lt;/D&gt;&lt;D xsi:type="xsd:long"&gt;44069&lt;/D&gt;&lt;D xsi:type="xsd:long"&gt;44070&lt;/D&gt;&lt;D xsi:type="xsd:long"&gt;44071&lt;/D&gt;&lt;D xsi:type="xsd:long"&gt;44074&lt;/D&gt;&lt;D xsi:type="xsd:long"&gt;44075&lt;/D&gt;&lt;D xsi:type="xsd:long"&gt;44076&lt;/D&gt;&lt;D xsi:type="xsd:long"&gt;44077&lt;/D&gt;&lt;D xsi:type="xsd:long"&gt;44078&lt;/D&gt;&lt;D xsi:type="xsd:long"&gt;44082&lt;/D&gt;&lt;D xsi:type="xsd:long"&gt;44083&lt;/D&gt;&lt;D xsi:type="xsd:long"&gt;44084&lt;/D&gt;&lt;D xsi:type="xsd:long"&gt;44085&lt;/D&gt;&lt;D xsi:type="xsd:long"&gt;44088&lt;/D&gt;&lt;D xsi:type="xsd:long"&gt;44089&lt;/D&gt;&lt;D xsi:type="xsd:long"&gt;44090&lt;/D&gt;&lt;D xsi:type="xsd:long"&gt;44091&lt;/D&gt;&lt;D xsi:type="xsd:long"&gt;44092&lt;/D&gt;&lt;D xsi:type="xsd:long"&gt;44095&lt;/D&gt;&lt;D xsi:type="xsd:long"&gt;44096&lt;/D&gt;&lt;D xsi:type="xsd:long"&gt;44097&lt;/D&gt;&lt;D xsi:type="xsd:long"&gt;44098&lt;/D&gt;&lt;D xsi:type="xsd:long"&gt;44099&lt;/D&gt;&lt;D xsi:type="xsd:long"&gt;44102&lt;/D&gt;&lt;D xsi:type="xsd:long"&gt;44103&lt;/D&gt;&lt;D xsi:type="xsd:long"&gt;44104&lt;/D&gt;&lt;D xsi:type="xsd:long"&gt;44105&lt;/D&gt;&lt;D xsi:type="xsd:long"&gt;44106&lt;/D&gt;&lt;D xsi:type="xsd:long"&gt;44109&lt;/D&gt;&lt;D xsi:type="xsd:long"&gt;44110&lt;/D&gt;&lt;D xsi:type="xsd:long"&gt;44111&lt;/D&gt;&lt;D xsi:type="xsd:long"&gt;44112&lt;/D&gt;&lt;D xsi:type="xsd:long"&gt;44113&lt;/D&gt;&lt;D xsi:type="xsd:long"&gt;44116&lt;/D&gt;&lt;D xsi:type="xsd:long"&gt;44117&lt;/D&gt;&lt;D xsi:type="xsd:long"&gt;44118&lt;/D&gt;&lt;D xsi:type="xsd:long"&gt;44119&lt;/D&gt;&lt;D xsi:type="xsd:long"&gt;44120&lt;/D&gt;&lt;D xsi:type="xsd:long"&gt;44123&lt;/D&gt;&lt;D xsi:type="xsd:long"&gt;44124&lt;/D&gt;&lt;D xsi:type="xsd:long"&gt;44125&lt;/D&gt;&lt;D xsi:type="xsd:long"&gt;44126&lt;/D&gt;&lt;D xsi:type="xsd:long"&gt;44127&lt;/D&gt;&lt;D xsi:type="xsd:long"&gt;44130&lt;/D&gt;&lt;D xsi:type="xsd:long"&gt;44131&lt;/D&gt;&lt;D xsi:type="xsd:long"&gt;44132&lt;/D&gt;&lt;D xsi:type="xsd:long"&gt;44133&lt;/D&gt;&lt;D xsi:type="xsd:long"&gt;44134&lt;/D&gt;&lt;D xsi:type="xsd:long"&gt;44137&lt;/D&gt;&lt;D xsi:type="xsd:long"&gt;44138&lt;/D&gt;&lt;D xsi:type="xsd:long"&gt;44139&lt;/D&gt;&lt;D xsi:type="xsd:long"&gt;44140&lt;/D&gt;&lt;D xsi:type="xsd:long"&gt;44141&lt;/D&gt;&lt;D xsi:type="xsd:long"&gt;44144&lt;/D&gt;&lt;D xsi:type="xsd:long"&gt;44145&lt;/D&gt;&lt;D xsi:type="xsd:long"&gt;44146&lt;/D&gt;&lt;D xsi:type="xsd:long"&gt;44147&lt;/D&gt;&lt;D xsi:type="xsd:long"&gt;44148&lt;/D&gt;&lt;D xsi:type="xsd:long"&gt;44151&lt;/D&gt;&lt;D xsi:type="xsd:long"&gt;44152&lt;/D&gt;&lt;D xsi:type="xsd:long"&gt;44153&lt;/D&gt;&lt;D xsi:type="xsd:long"&gt;44154&lt;/D&gt;&lt;D xsi:type="xsd:long"&gt;44155&lt;/D&gt;&lt;D xsi:type="xsd:long"&gt;44158&lt;/D&gt;&lt;D xsi:type="xsd:long"&gt;44159&lt;/D&gt;&lt;D xsi:type="xsd:long"&gt;44160&lt;/D&gt;&lt;D xsi:type="xsd:long"&gt;44162&lt;/D&gt;&lt;D xsi:type="xsd:long"&gt;44165&lt;/D&gt;&lt;D xsi:type="xsd:long"&gt;44166&lt;/D&gt;&lt;D xsi:type="xsd:long"&gt;44167&lt;/D&gt;&lt;D xsi:type="xsd:long"&gt;44168&lt;/D&gt;&lt;D xsi:type="xsd:long"&gt;44169&lt;/D&gt;&lt;D xsi:type="xsd:long"&gt;44172&lt;/D&gt;&lt;D xsi:type="xsd:long"&gt;44173&lt;/D&gt;&lt;D xsi:type="xsd:long"&gt;44174&lt;/D&gt;&lt;D xsi:type="xsd:long"&gt;44175&lt;/D&gt;&lt;D xsi:type="xsd:long"&gt;44176&lt;/D&gt;&lt;D xsi:type="xsd:long"&gt;44179&lt;/D&gt;&lt;D xsi:type="xsd:long"&gt;44180&lt;/D&gt;&lt;D xsi:type="xsd:long"&gt;44181&lt;/D&gt;&lt;D xsi:type="xsd:long"&gt;44182&lt;/D&gt;&lt;D xsi:type="xsd:long"&gt;44183&lt;/D&gt;&lt;D xsi:type="xsd:long"&gt;44186&lt;/D&gt;&lt;D xsi:type="xsd:long"&gt;44187&lt;/D&gt;&lt;D xsi:type="xsd:long"&gt;44188&lt;/D&gt;&lt;D xsi:type="xsd:long"&gt;44189&lt;/D&gt;&lt;D xsi:type="xsd:long"&gt;44193&lt;/D&gt;&lt;D xsi:type="xsd:long"&gt;44194&lt;/D&gt;&lt;D xsi:type="xsd:long"&gt;44195&lt;/D&gt;&lt;D xsi:type="xsd:long"&gt;44196&lt;/D&gt;&lt;D xsi:type="xsd:long"&gt;44200&lt;/D&gt;&lt;D xsi:type="xsd:long"&gt;44</t>
        </r>
      </text>
    </comment>
    <comment ref="A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201&lt;/D&gt;&lt;D xsi:type="xsd:long"&gt;44202&lt;/D&gt;&lt;D xsi:type="xsd:long"&gt;44203&lt;/D&gt;&lt;D xsi:type="xsd:long"&gt;44204&lt;/D&gt;&lt;D xsi:type="xsd:long"&gt;44207&lt;/D&gt;&lt;D xsi:type="xsd:long"&gt;44208&lt;/D&gt;&lt;D xsi:type="xsd:long"&gt;44209&lt;/D&gt;&lt;D xsi:type="xsd:long"&gt;44210&lt;/D&gt;&lt;D xsi:type="xsd:long"&gt;44211&lt;/D&gt;&lt;D xsi:type="xsd:long"&gt;44215&lt;/D&gt;&lt;D xsi:type="xsd:long"&gt;44216&lt;/D&gt;&lt;D xsi:type="xsd:long"&gt;44217&lt;/D&gt;&lt;D xsi:type="xsd:long"&gt;44218&lt;/D&gt;&lt;D xsi:type="xsd:long"&gt;44221&lt;/D&gt;&lt;D xsi:type="xsd:long"&gt;44222&lt;/D&gt;&lt;D xsi:type="xsd:long"&gt;44223&lt;/D&gt;&lt;D xsi:type="xsd:long"&gt;44224&lt;/D&gt;&lt;D xsi:type="xsd:long"&gt;44225&lt;/D&gt;&lt;D xsi:type="xsd:long"&gt;44228&lt;/D&gt;&lt;D xsi:type="xsd:long"&gt;44229&lt;/D&gt;&lt;D xsi:type="xsd:long"&gt;44230&lt;/D&gt;&lt;D xsi:type="xsd:long"&gt;44231&lt;/D&gt;&lt;D xsi:type="xsd:long"&gt;44232&lt;/D&gt;&lt;D xsi:type="xsd:long"&gt;44235&lt;/D&gt;&lt;D xsi:type="xsd:long"&gt;44236&lt;/D&gt;&lt;D xsi:type="xsd:long"&gt;44237&lt;/D&gt;&lt;D xsi:type="xsd:long"&gt;44238&lt;/D&gt;&lt;D xsi:type="xsd:long"&gt;44239&lt;/D&gt;&lt;D xsi:type="xsd:long"&gt;44243&lt;/D&gt;&lt;D xsi:type="xsd:long"&gt;44244&lt;/D&gt;&lt;D xsi:type="xsd:long"&gt;44245&lt;/D&gt;&lt;D xsi:type="xsd:long"&gt;44246&lt;/D&gt;&lt;D xsi:type="xsd:long"&gt;44249&lt;/D&gt;&lt;D xsi:type="xsd:long"&gt;44250&lt;/D&gt;&lt;D xsi:type="xsd:long"&gt;44251&lt;/D&gt;&lt;D xsi:type="xsd:long"&gt;44252&lt;/D&gt;&lt;D xsi:type="xsd:long"&gt;44253&lt;/D&gt;&lt;D xsi:type="xsd:long"&gt;44256&lt;/D&gt;&lt;D xsi:type="xsd:long"&gt;44257&lt;/D&gt;&lt;D xsi:type="xsd:long"&gt;44258&lt;/D&gt;&lt;D xsi:type="xsd:long"&gt;44259&lt;/D&gt;&lt;D xsi:type="xsd:long"&gt;44260&lt;/D&gt;&lt;D xsi:type="xsd:long"&gt;44263&lt;/D&gt;&lt;D xsi:type="xsd:long"&gt;44264&lt;/D&gt;&lt;D xsi:type="xsd:long"&gt;44265&lt;/D&gt;&lt;D xsi:type="xsd:long"&gt;44266&lt;/D&gt;&lt;D xsi:type="xsd:long"&gt;44267&lt;/D&gt;&lt;D xsi:type="xsd:long"&gt;44270&lt;/D&gt;&lt;D xsi:type="xsd:long"&gt;44271&lt;/D&gt;&lt;D xsi:type="xsd:long"&gt;44272&lt;/D&gt;&lt;D xsi:type="xsd:long"&gt;44273&lt;/D&gt;&lt;D xsi:type="xsd:long"&gt;44274&lt;/D&gt;&lt;D xsi:type="xsd:long"&gt;44277&lt;/D&gt;&lt;D xsi:type="xsd:long"&gt;44278&lt;/D&gt;&lt;D xsi:type="xsd:long"&gt;44279&lt;/D&gt;&lt;D xsi:type="xsd:long"&gt;44280&lt;/D&gt;&lt;D xsi:type="xsd:long"&gt;44281&lt;/D&gt;&lt;D xsi:type="xsd:long"&gt;44284&lt;/D&gt;&lt;D xsi:type="xsd:long"&gt;44285&lt;/D&gt;&lt;D xsi:type="xsd:long"&gt;44286&lt;/D&gt;&lt;D xsi:type="xsd:long"&gt;44287&lt;/D&gt;&lt;D xsi:type="xsd:long"&gt;44291&lt;/D&gt;&lt;D xsi:type="xsd:long"&gt;44292&lt;/D&gt;&lt;D xsi:type="xsd:long"&gt;44293&lt;/D&gt;&lt;D xsi:type="xsd:long"&gt;44294&lt;/D&gt;&lt;D xsi:type="xsd:long"&gt;44295&lt;/D&gt;&lt;D xsi:type="xsd:long"&gt;44298&lt;/D&gt;&lt;D xsi:type="xsd:long"&gt;44299&lt;/D&gt;&lt;D xsi:type="xsd:long"&gt;44300&lt;/D&gt;&lt;D xsi:type="xsd:long"&gt;44301&lt;/D&gt;&lt;D xsi:type="xsd:long"&gt;44302&lt;/D&gt;&lt;D xsi:type="xsd:long"&gt;44305&lt;/D&gt;&lt;D xsi:type="xsd:long"&gt;44306&lt;/D&gt;&lt;D xsi:type="xsd:long"&gt;44307&lt;/D&gt;&lt;D xsi:type="xsd:long"&gt;44308&lt;/D&gt;&lt;D xsi:type="xsd:long"&gt;44309&lt;/D&gt;&lt;D xsi:type="xsd:long"&gt;44312&lt;/D&gt;&lt;D xsi:type="xsd:long"&gt;44313&lt;/D&gt;&lt;D xsi:type="xsd:long"&gt;44314&lt;/D&gt;&lt;D xsi:type="xsd:long"&gt;44315&lt;/D&gt;&lt;D xsi:type="xsd:long"&gt;44316&lt;/D&gt;&lt;D xsi:type="xsd:long"&gt;44319&lt;/D&gt;&lt;D xsi:type="xsd:long"&gt;44320&lt;/D&gt;&lt;D xsi:type="xsd:long"&gt;44321&lt;/D&gt;&lt;D xsi:type="xsd:long"&gt;44322&lt;/D&gt;&lt;D xsi:type="xsd:long"&gt;44323&lt;/D&gt;&lt;D xsi:type="xsd:long"&gt;44326&lt;/D&gt;&lt;D xsi:type="xsd:long"&gt;44327&lt;/D&gt;&lt;D xsi:type="xsd:long"&gt;44328&lt;/D&gt;&lt;D xsi:type="xsd:long"&gt;44329&lt;/D&gt;&lt;D xsi:type="xsd:long"&gt;44330&lt;/D&gt;&lt;D xsi:type="xsd:long"&gt;44333&lt;/D&gt;&lt;D xsi:type="xsd:long"&gt;44334&lt;/D&gt;&lt;D xsi:type="xsd:long"&gt;44335&lt;/D&gt;&lt;D xsi:type="xsd:long"&gt;44336&lt;/D&gt;&lt;D xsi:type="xsd:long"&gt;44337&lt;/D&gt;&lt;D xsi:type="xsd:long"&gt;44340&lt;/D&gt;&lt;D xsi:type="xsd:long"&gt;44341&lt;/D&gt;&lt;D xsi:type="xsd:long"&gt;44342&lt;/D&gt;&lt;D xsi:type="xsd:long"&gt;44343&lt;/D&gt;&lt;D xsi:type="xsd:long"&gt;44344&lt;/D&gt;&lt;D xsi:type="xsd:long"&gt;44348&lt;/D&gt;&lt;D xsi:type="xsd:long"&gt;44349&lt;/D&gt;&lt;D xsi:type="xsd:long"&gt;44350&lt;/D&gt;&lt;D xsi:type="xsd:long"&gt;44351&lt;/D&gt;&lt;D xsi:type="xsd:long"&gt;44354&lt;/D&gt;&lt;D xsi:type="xsd:long"&gt;44355&lt;/D&gt;&lt;D xsi:type="xsd:long"&gt;44356&lt;/D&gt;&lt;D xsi:type="xsd:long"&gt;44357&lt;/D&gt;&lt;D xsi:type="xsd:long"&gt;44358&lt;/D&gt;&lt;D xsi:type="xsd:long"&gt;44361&lt;/D&gt;&lt;D xsi:type="xsd:long"&gt;44362&lt;/D&gt;&lt;D xsi:type="xsd:long"&gt;44363&lt;/D&gt;&lt;D xsi:type="xsd:long"&gt;44364&lt;/D&gt;&lt;D xsi:type="xsd:long"&gt;44365&lt;/D&gt;&lt;D xsi:type="xsd:long"&gt;44368&lt;/D&gt;&lt;D xsi:type="xsd:long"&gt;44369&lt;/D&gt;&lt;D xsi:type="xsd:long"&gt;44370&lt;/D&gt;&lt;D xsi:type="xsd:long"&gt;44371&lt;/D&gt;&lt;D xsi:type="xsd:long"&gt;44372&lt;/D&gt;&lt;D xsi:type="xsd:long"&gt;44375&lt;/D&gt;&lt;D xsi:type="xsd:long"&gt;44376&lt;/D&gt;&lt;D xsi:type="xsd:long"&gt;44377&lt;/D&gt;&lt;D xsi:type="xsd:long"&gt;44378&lt;/D&gt;&lt;D xsi:type="xsd:long"&gt;44379&lt;/D&gt;&lt;D xsi:type="xsd:long"&gt;44383&lt;/D&gt;&lt;D xsi:type="xsd:long"&gt;44384&lt;/D&gt;&lt;D xsi:type="xsd:long"&gt;44385&lt;/D&gt;&lt;D xsi:type="xsd:long"&gt;44386&lt;/D&gt;&lt;D xsi:type="xsd:long"&gt;44389&lt;/D&gt;&lt;D xsi:type="xsd:long"&gt;44390&lt;/D&gt;&lt;D xsi:type="xsd:long"&gt;44391&lt;/D&gt;&lt;D xsi:type="xsd:long"&gt;44392&lt;/D&gt;&lt;D xsi:type="xsd:long"&gt;44393&lt;/D&gt;&lt;D xsi:type="xsd:long"&gt;44396&lt;/D&gt;&lt;D xsi:type="xsd:long"&gt;44397&lt;/D&gt;&lt;D xsi:type="xsd:long"&gt;44398&lt;/D&gt;&lt;D xsi:type="xsd:long"&gt;44399&lt;/D&gt;&lt;D xsi:type="xsd:long"&gt;44400&lt;/D&gt;&lt;D xsi:type="xsd:long"&gt;44403&lt;/D&gt;&lt;D xsi:type="xsd:long"&gt;44404&lt;/D&gt;&lt;D xsi:type="xsd:long"&gt;44405&lt;/D&gt;&lt;D xsi:type="xsd:long"&gt;44406&lt;/D&gt;&lt;D xsi:type="xsd:long"&gt;44407&lt;/D&gt;&lt;D xsi:type="xsd:long"&gt;44410&lt;/D&gt;&lt;D xsi:type="xsd:long"&gt;44411&lt;/D&gt;&lt;D xsi:type="xsd:long"&gt;44412&lt;/D&gt;&lt;D xsi:type="xsd:long"&gt;44413&lt;/D&gt;&lt;D xsi:type="xsd:long"&gt;44414&lt;/D&gt;&lt;D xsi:type="xsd:long"&gt;44417&lt;/D&gt;&lt;D xsi:type="xsd:long"&gt;44418&lt;/D&gt;&lt;D xsi:type="xsd:long"&gt;44419&lt;/D&gt;&lt;D xsi:type="xsd:long"&gt;44420&lt;/D&gt;&lt;D xsi:type="xsd:long"&gt;44421&lt;/D&gt;&lt;D xsi:type="xsd:long"&gt;44424&lt;/D&gt;&lt;D xsi:type="xsd:long"&gt;44425&lt;/D&gt;&lt;D xsi:type="xsd:long"&gt;44426&lt;/D&gt;&lt;D xsi:type="xsd:long"&gt;44427&lt;/D&gt;&lt;D xsi:type="xsd:long"&gt;44428&lt;/D&gt;&lt;D xsi:type="xsd:long"&gt;44431&lt;/D&gt;&lt;D xsi:type="xsd:long"&gt;44432&lt;/D&gt;&lt;D xsi:type="xsd:long"&gt;44433&lt;/D&gt;&lt;D xsi:type="xsd:long"&gt;44434&lt;/D&gt;&lt;D xsi:type="xsd:long"&gt;44435&lt;/D&gt;&lt;D xsi:type="xsd:long"&gt;44438&lt;/D&gt;&lt;D xsi:type="xsd:long"&gt;44439&lt;/D&gt;&lt;/FQL&gt;&lt;FQL&gt;&lt;Q&gt;SALM-FDS^FG_PRICE(-2AY,0)&lt;/Q&gt;&lt;R&gt;505&lt;/R&gt;&lt;C&gt;1&lt;/C&gt;&lt;D xsi:type="xsd:double"&gt;49.97&lt;/D&gt;&lt;D xsi:type="xsd:double"&gt;49.97&lt;/D&gt;&lt;D xsi:type="xsd:double"&gt;49.97&lt;/D&gt;&lt;D xsi:type="xsd:double"&gt;49.97&lt;/D&gt;&lt;D xsi:type="xsd:double"&gt;46.2&lt;/D&gt;&lt;D xsi:type="xsd:double"&gt;46.2&lt;/D&gt;&lt;D xsi:type="xsd:double"&gt;46.2&lt;/D&gt;&lt;D xsi:type="xsd:double"&gt;46.2&lt;/D&gt;&lt;D xsi:type="xsd:double"&gt;46.2&lt;/D&gt;&lt;D xsi:type="xsd:double"&gt;42.79&lt;/D&gt;&lt;D xsi:type="xsd:double"&gt;42.79&lt;/D&gt;&lt;D xsi:type="xsd:double"&gt;42.79&lt;/D&gt;&lt;D xsi:type="xsd:double"&gt;42.79&lt;/D&gt;&lt;D xsi:type="xsd:double"&gt;42.79&lt;/D&gt;&lt;D xsi:type="xsd:double"&gt;42.01&lt;/D&gt;&lt;D xsi:type="xsd:double"&gt;42.01&lt;/D&gt;&lt;D xsi:type="xsd:double"&gt;42.01&lt;/D&gt;&lt;D xsi:type="xsd:double"&gt;42.01&lt;/D&gt;&lt;D xsi:type="xsd:double"&gt;42.01&lt;/D&gt;&lt;D xsi:type="xsd:double"&gt;41.96&lt;/D&gt;&lt;D xsi:type="xsd:double"&gt;41.96&lt;/D&gt;&lt;D xsi:type="xsd:double"&gt;41.96&lt;/D&gt;&lt;D xsi:type="xsd:double"&gt;41.96&lt;/D&gt;&lt;D xsi:type="xsd:double"&gt;41.96&lt;/D&gt;&lt;D xsi:type="xsd:double"&gt;40.5&lt;/D&gt;&lt;D xsi:type="xsd:double"&gt;40.5&lt;/D&gt;&lt;D xsi:type="xsd:double"&gt;40.5&lt;/D&gt;&lt;D xsi:type="xsd:double"&gt;40.5&lt;/D&gt;&lt;D xsi:type="xsd:double"&gt;40.5&lt;/D&gt;&lt;D xsi:type="xsd:double"&gt;45.7&lt;/D&gt;&lt;D xsi:type="xsd:double"&gt;45.7&lt;/D&gt;&lt;D xsi:type="xsd:double"&gt;45.7&lt;/D&gt;&lt;D xsi:type="xsd:double"&gt;45.7&lt;/D&gt;&lt;D xsi:type="xsd:double"&gt;45.7&lt;/D&gt;&lt;D xsi:type="xsd:double"&gt;51.2&lt;/D&gt;&lt;D xsi:type="xsd:double"&gt;51.2&lt;/D&gt;&lt;D xsi:type="xsd:double"&gt;51.2&lt;/D&gt;&lt;D xsi:type="xsd:double"&gt;51.2&lt;/D&gt;&lt;D xsi:type="xsd:double"&gt;51.2&lt;/D&gt;&lt;D xsi:type="xsd:double"&gt;50.62&lt;/D&gt;&lt;D xsi:type="xsd:double"&gt;50.62&lt;/D&gt;&lt;D xsi:type="xsd:double"&gt;50.62&lt;/D&gt;&lt;D xsi:type="xsd:double"&gt;50.62&lt;/D&gt;&lt;D xsi:type="xsd:double"&gt;50.62&lt;/D&gt;&lt;D xsi:type="xsd:double"&gt;47.24&lt;/D&gt;&lt;D xsi:type="xsd:double"&gt;47.24&lt;/D&gt;&lt;D xsi:type="xsd:double"&gt;47.24&lt;/D&gt;&lt;D xsi:type="xsd:double"&gt;47.24&lt;/D&gt;&lt;D xsi:type="xsd:double"&gt;47.24&lt;/D&gt;&lt;D xsi:type="xsd:double"&gt;49.83&lt;/D&gt;&lt;D xsi:type="xsd:double"&gt;49.83&lt;/D&gt;&lt;D xsi:type="xsd:double"&gt;49.83&lt;/D&gt;&lt;D xsi:type="xsd:double"&gt;49.83&lt;/D&gt;&lt;D xsi:type="xsd:double"&gt;49.83&lt;/D&gt;&lt;D xsi:type="xsd:double"&gt;55.56&lt;/D&gt;&lt;D xsi:type="xsd:double"&gt;55.56&lt;/D&gt;&lt;D xsi:type="xsd:double"&gt;55.56&lt;/D&gt;&lt;D xsi:type="xsd:double"&gt;55.56&lt;/D&gt;&lt;D xsi:type="xsd:double"&gt;55.56&lt;/D&gt;&lt;D xsi:type="xsd:double"&gt;60.33&lt;/D&gt;&lt;D xsi:type="xsd:double"&gt;60.33&lt;/D&gt;&lt;D xsi:type="xsd:double"&gt;60.33&lt;/D&gt;&lt;D xsi:type="xsd:double"&gt;60.33&lt;/D&gt;&lt;D xsi:type="xsd:double"&gt;61.87&lt;/D&gt;&lt;D xsi:type="xsd:double"&gt;61.87&lt;/D&gt;&lt;D xsi:type="xsd:double"&gt;61.87&lt;/D&gt;&lt;D xsi:type="xsd:double"&gt;61.87&lt;/D&gt;&lt;D xsi:type="xsd:double"&gt;61.87&lt;/D&gt;&lt;D xsi:type="xsd:double"&gt;62.28&lt;/D&gt;&lt;D xsi:type="xsd:double"&gt;62.28&lt;/D&gt;&lt;D xsi:type="xsd:double"&gt;62.28&lt;/D&gt;&lt;D xsi:type="xsd:double"&gt;62.28&lt;/D&gt;&lt;D xsi:type="xsd:double"&gt;62.28&lt;/D&gt;&lt;D xsi:type="xsd:double"&gt;68.77&lt;/D&gt;&lt;D xsi:type="xsd:double"&gt;68.77&lt;/D&gt;&lt;D xsi:type="xsd:double"&gt;68.77&lt;/D&gt;&lt;D xsi:type="xsd:double"&gt;68.77&lt;/D&gt;&lt;D xsi:type="xsd:double"&gt;68.77&lt;/D&gt;&lt;D xsi:type="xsd:double"&gt;73.35&lt;/D&gt;&lt;D xsi:type="xsd:double"&gt;73.35&lt;/D&gt;&lt;D xsi:type="xsd:double"&gt;73.35&lt;/D&gt;&lt;D xsi:type="xsd:double"&gt;73.35&lt;/D&gt;&lt;D xsi:type="xsd:double"&gt;77.82&lt;/D&gt;&lt;D xsi:type="xsd:double"&gt;77.82&lt;/D&gt;&lt;D xsi:type="xsd:double"&gt;77.82&lt;/D&gt;&lt;D xsi:type="xsd:double"&gt;77.82&lt;/D&gt;&lt;D xsi:type="xsd:double"&gt;79.1&lt;/D&gt;&lt;D xsi:type="xsd:double"&gt;79.1&lt;/D&gt;&lt;D xsi:type="xsd:double"&gt;79.1&lt;/D&gt;&lt;D xsi:type="xsd:double"&gt;79.1&lt;/D&gt;&lt;D xsi:type="xsd:double"&gt;79.1&lt;/D&gt;&lt;D xsi:type="xsd:double"&gt;79.19&lt;/D&gt;&lt;D xsi:type="xsd:double"&gt;79.19&lt;/D&gt;&lt;D xsi:type="xsd:double"&gt;79.19&lt;/D&gt;&lt;D xsi:type="xsd:double"&gt;79.19&lt;/D&gt;&lt;D xsi:type="xsd:double"&gt;79.19&lt;/D&gt;&lt;D xsi:type="xsd:double"&gt;77.71&lt;/D&gt;&lt;D xsi:type="xsd:double"&gt;77.71&lt;/D&gt;&lt;D xsi:type="xsd:double"&gt;77.71&lt;/D&gt;&lt;D xsi:type="xsd:double"&gt;77.71&lt;/D&gt;&lt;D xsi:type="xsd:double"&gt;77.6&lt;/D&gt;&lt;D xsi:type="xsd:double"&gt;77.6&lt;/D&gt;&lt;D xsi:type="xsd:double"&gt;77.6&lt;/D&gt;&lt;D xsi:type="xsd:double"&gt;77.6&lt;/D&gt;&lt;D xsi:type="xsd:double"&gt;77.6&lt;/D&gt;&lt;D xsi:type="xsd:double"&gt;68.67&lt;/D&gt;&lt;D xsi:type="xsd:double"&gt;68.67&lt;/D&gt;&lt;D xsi:type="xsd:double"&gt;68.67&lt;/D&gt;&lt;D xsi:type="xsd:double"&gt;68.67&lt;/D&gt;&lt;D xsi:type="xsd:double"&gt;68.67&lt;/D&gt;&lt;D xsi:type="xsd:double"&gt;64.29&lt;/D&gt;&lt;D xsi:type="xsd:double"&gt;64.29&lt;/D&gt;&lt;D xsi:type="xsd:double"&gt;64.29&lt;/D&gt;&lt;D xsi:type="xsd:double"&gt;64.29&lt;/D&gt;&lt;D xsi:type="xsd:double"&gt;64.29&lt;/D&gt;&lt;D xsi:type="xsd:double"&gt;62.08&lt;/D&gt;&lt;D xsi:type="xsd:double"&gt;62.08&lt;/D&gt;&lt;D xsi:type="xsd:double"&gt;62.08&lt;/D&gt;&lt;D xsi:type="xsd:double"&gt;62.08&lt;/D&gt;&lt;D xsi:type="xsd:double"&gt;68.09&lt;/D&gt;&lt;D xsi:type="xsd:double"&gt;68.09&lt;/D&gt;&lt;D xsi:type="xsd:double"&gt;68.09&lt;/D&gt;&lt;D xsi:type="xsd:double"&gt;68.09&lt;/D&gt;&lt;D xsi:type="xsd:double"&gt;68.09&lt;/D&gt;&lt;D xsi:type="xsd:double"&gt;74.23&lt;/D&gt;&lt;D xsi:type="xsd:double"&gt;74.23&lt;/D&gt;&lt;D xsi:type="xsd:double"&gt;74.23&lt;/D&gt;&lt;D xsi:type="xsd:double"&gt;74.23&lt;/D&gt;&lt;D xsi:type="xsd:double"&gt;74.23&lt;/D&gt;&lt;D xsi:type="xsd:double"&gt;67.07&lt;/D&gt;&lt;D xsi:type="xsd:double"&gt;67.07&lt;/D&gt;&lt;D xsi:type="xsd:double"&gt;67.07&lt;/D&gt;&lt;D xsi:type="xsd:double"&gt;67.07&lt;/D&gt;&lt;D xsi:type="xsd:double"&gt;67.07&lt;/D&gt;&lt;D xsi:type="xsd:double"&gt;66.94&lt;/D&gt;&lt;D xsi:type="xsd:double"&gt;66.94&lt;/D&gt;&lt;D xsi:type="xsd:double"&gt;66.94&lt;/D&gt;&lt;D xsi:type="xsd:double"&gt;66.94&lt;/D&gt;&lt;D xsi:type="xsd:double"&gt;66.94&lt;/D&gt;&lt;D xsi:type="xsd:double"&gt;58.89&lt;/D&gt;&lt;D xsi:type="xsd:double"&gt;58.89&lt;/D&gt;&lt;D xsi:type="xsd:double"&gt;58.89&lt;/D&gt;&lt;D xsi:type="xsd:double"&gt;58.89&lt;/D&gt;&lt;D xsi:type="xsd:double"&gt;58.89&lt;/D&gt;&lt;D xsi:type="xsd:double"&gt;54.39&lt;/D&gt;&lt;D xsi:type="xsd:double"&gt;54.39&lt;/D&gt;&lt;D xsi:type="xsd:double"&gt;54.39&lt;/D&gt;&lt;D xsi:type="xsd:double"&gt;54.39&lt;/D&gt;&lt;D xsi:type="xsd:double"&gt;54.39&lt;/D&gt;&lt;D xsi:type="xsd:double"&gt;52.04&lt;/D&gt;&lt;D xsi:type="xsd:double"&gt;52.04&lt;/D&gt;&lt;D xsi:type="xsd:double"&gt;52.04&lt;/D&gt;&lt;D xsi:type="xsd:double"&gt;52.04&lt;/D&gt;&lt;D xsi:type="xsd:double"&gt;52.04&lt;/D&gt;&lt;D xsi:type="xsd:double"&gt;52.74&lt;/D&gt;&lt;D xsi:type="xsd:double"&gt;52.74&lt;/D&gt;&lt;D xsi:type="xsd:double"&gt;52.74&lt;/D&gt;&lt;D xsi:type="xsd:double"&gt;52.74&lt;/D&gt;&lt;D xsi:type="xsd:double"&gt;51.98&lt;/D&gt;&lt;D xsi:type="xsd:double"&gt;51.98&lt;/D&gt;&lt;D xsi:type="xsd:double"&gt;51.98&lt;/D&gt;&lt;D xsi:type="xsd:double"&gt;51.98&lt;/D&gt;&lt;D xsi:type="xsd:double"&gt;51.98&lt;/D&gt;&lt;D xsi:type="xsd:double"&gt;51.7&lt;/D&gt;&lt;D xsi:type="xsd:double"&gt;51.7&lt;/D&gt;&lt;D xsi:type="xsd:double"&gt;51.7&lt;/D&gt;&lt;D xsi:type="xsd:double"&gt;51.7&lt;/D&gt;&lt;D xsi:type="xsd:double"&gt;51.7&lt;/D&gt;&lt;D xsi:type="xsd:double"&gt;48.84&lt;/D&gt;&lt;D xsi:type="xsd:double"&gt;48.84&lt;/D&gt;&lt;D xsi:type="xsd:double"&gt;48.84&lt;/D&gt;&lt;D xsi:type="xsd:double"&gt;48.84&lt;/D&gt;&lt;D xsi:type="xsd:double"&gt;48.84&lt;/D&gt;&lt;D xsi:type="xsd:double"&gt;48.61&lt;/D&gt;&lt;D xsi:type="xsd:double"&gt;48.61&lt;/D&gt;&lt;D xsi:type="xsd:double"&gt;48.61&lt;/D&gt;&lt;D xsi:type="xsd:double"&gt;48.61&lt;/D&gt;&lt;D xsi:type="xsd:double"&gt;48.61&lt;/D&gt;&lt;D xsi:type="xsd:double"&gt;55.35&lt;/D&gt;&lt;D xsi:type="xsd:double"&gt;55.35&lt;/D&gt;&lt;D xsi:type="xsd:double"&gt;55.35&lt;/D&gt;&lt;D xsi:type="xsd:double"&gt;55.35&lt;/D&gt;&lt;D xsi:type="xsd:double"&gt;55.35&lt;/D&gt;&lt;D xsi:type="xsd:double"&gt;66.17&lt;/D&gt;&lt;D xsi:type="xsd:double"&gt;66.17&lt;/D&gt;&lt;D xsi:type="xsd:double"&gt;66.17&lt;/D&gt;&lt;D xsi:type="xsd:double"&gt;66.17&lt;/D&gt;&lt;D xsi:type="xsd:double"&gt;64.28&lt;/D&gt;&lt;D xsi:type="xsd:double"&gt;64.28&lt;/D&gt;&lt;D xsi:type="xsd:double"&gt;64.28&lt;/D&gt;&lt;D xsi:type="xsd:double"&gt;64.28&lt;/D&gt;&lt;D xsi:type="xsd:double"&gt;64.28&lt;/D&gt;&lt;D xsi:type="xsd:double"&gt;68.96&lt;/D&gt;&lt;D xsi:type="xsd:double"&gt;68.96&lt;/D&gt;&lt;D xsi:type="xsd:double"&gt;68.96&lt;/D&gt;&lt;D xsi:type="xsd:double"&gt;68.96&lt;/D&gt;&lt;D xsi:type="xsd:double"&gt;68.96&lt;/D&gt;&lt;D xsi:type="xsd:double"&gt;71.17&lt;/D&gt;&lt;D xsi:type="xsd:double"&gt;71.17&lt;/D&gt;&lt;D xsi:type="xsd:double"&gt;71.17&lt;/D&gt;&lt;D xsi:type="xsd:double"&gt;71.17&lt;/D&gt;&lt;D xsi:type="xsd:double"&gt;71.17&lt;/D&gt;&lt;D xsi:type="xsd:double"&gt;60.84&lt;/D&gt;&lt;D xsi:type="xsd:double"&gt;60.84&lt;/D&gt;&lt;D xsi:type="xsd:double"&gt;60.84&lt;/D&gt;&lt;D xsi:type="xsd:double"&gt;60.84&lt;/D&gt;&lt;D xsi:type="xsd:double"&gt;60.84&lt;/D&gt;&lt;D xsi:type="xsd:double"&gt;57.14&lt;/D&gt;&lt;D xsi:type="xsd:double"&gt;57.14&lt;/D&gt;&lt;D xsi:type="xsd:double"&gt;57.14&lt;/D&gt;&lt;D xsi:type="xsd:double"&gt;57.14&lt;/D&gt;&lt;D xsi:type="xsd:double"&gt;57.14&lt;/D&gt;&lt;D xsi:type="xsd:double"&gt;58.82&lt;/D&gt;&lt;D xsi:type="xsd:double"&gt;58.82&lt;/D&gt;&lt;D xsi:type="xsd:double"&gt;58.82&lt;/D&gt;&lt;D xsi:type="xsd:double"&gt;58.82&lt;/D&gt;&lt;D xsi:type="xsd:double"&gt;54.34&lt;/D&gt;&lt;D xsi:type="xsd:double"&gt;54.34&lt;/D&gt;&lt;D xsi:type="xsd:double"&gt;54.34&lt;/D&gt;&lt;D xsi:type="xsd:double"&gt;54.34&lt;/D&gt;&lt;D xsi:type="xsd:double"&gt;54.34&lt;/D&gt;&lt;D xsi:type="xsd:double"&gt;48.07&lt;/D&gt;&lt;D xsi:type="xsd:double"&gt;48.07&lt;/D&gt;&lt;D xsi:type="xsd:double"&gt;48.07&lt;/D&gt;&lt;D xsi:type="xsd:double"&gt;48.07&lt;/D&gt;&lt;D xsi:type="xsd:double"&gt;48.07&lt;/D&gt;&lt;D xsi:type="xsd:double"&gt;46.16&lt;/D&gt;&lt;D xsi:type="xsd:double"&gt;46.16&lt;/D&gt;&lt;D xsi:type="xsd:double"&gt;46.16&lt;/D&gt;&lt;D xsi:type="xsd:double"&gt;46.16&lt;/D&gt;&lt;D xsi:type="xsd:double"&gt;46.16&lt;/D&gt;&lt;D xsi:type="xsd:double"&gt;44.99&lt;/D&gt;&lt;D xsi:type="xsd:double"&gt;44.99&lt;/D&gt;&lt;D xsi:type="xsd:double"&gt;44.99&lt;/D&gt;&lt;D xsi:type="xsd:double"&gt;44.99&lt;/D&gt;&lt;D xsi:type="xsd:double"&gt;44.99&lt;/D&gt;&lt;D xsi:type="xsd:double"&gt;44.79&lt;/D&gt;&lt;D xsi:type="xsd:double"&gt;44.79&lt;/D&gt;&lt;D xsi:type="xsd:double"&gt;44.79&lt;/D&gt;&lt;D xsi:type="xsd:double"&gt;44.79&lt;/D&gt;&lt;D xsi:type="xsd:double"&gt;44.79&lt;/D&gt;&lt;D xsi:type="xsd:double"&gt;48.28&lt;/D&gt;&lt;D xsi:type="xsd:double"&gt;48.28&lt;/D&gt;&lt;D xsi:type="xsd:double"&gt;48.28&lt;/D&gt;&lt;D xsi:type="xsd:double"&gt;48.28&lt;/D&gt;&lt;D xsi:type="xsd:double"&gt;48.28&lt;/D&gt;&lt;D xsi:type="xsd:double"&gt;48.63&lt;/D&gt;&lt;D xsi:type="xsd:double"&gt;48.63&lt;/D&gt;&lt;D xsi:type="xsd:double"&gt;48.63&lt;/D&gt;&lt;D xsi:type="xsd:double"&gt;48.63&lt;/D&gt;&lt;D xsi:type="xsd:double"&gt;48.63&lt;/D&gt;&lt;D xsi:type="xsd:double"&gt;44.98&lt;/D&gt;&lt;D xsi:type="xsd:double"&gt;44.98&lt;/D&gt;&lt;D xsi:type="xsd:double"&gt;44.98&lt;/D&gt;&lt;D xsi:type="xsd:double"&gt;44.98&lt;/D&gt;&lt;D xsi:type="xsd:double"&gt;44.98&lt;/D&gt;&lt;D xsi:type="xsd:double"&gt;45.45&lt;/D&gt;&lt;D xsi:type="xsd:double"&gt;45.45&lt;/D&gt;&lt;D xsi:type="xsd:double"&gt;45.45&lt;/D&gt;&lt;D xsi:type="xsd:double"&gt;45.45&lt;/D&gt;&lt;D xsi:type="xsd:double"&gt;46.27&lt;/D&gt;&lt;D xsi:type="xsd:double"&gt;46.27&lt;/D&gt;&lt;D xsi:type="xsd:double"&gt;46.27&lt;/D&gt;&lt;D xsi:type="xsd:double"&gt;46.27&lt;/D&gt;&lt;D xsi:type="xsd:double"&gt;46.27&lt;/D&gt;&lt;D xsi:type="xsd:double"&gt;43.2&lt;/D&gt;&lt;D xsi:type="xsd:double"&gt;43.2&lt;/D&gt;&lt;D xsi:type="xsd:double"&gt;43.2&lt;/D&gt;&lt;D xsi:type="xsd:double"&gt;43.2&lt;/D&gt;&lt;D xsi:type="xsd:double"&gt;43.2&lt;/D&gt;&lt;D xsi:type="xsd:double"&gt;47.87&lt;/D&gt;&lt;D xsi:type="xsd:double"&gt;47.87&lt;/D&gt;&lt;D xsi:type="xsd:double"&gt;47.87&lt;/D&gt;&lt;D xsi:type="xsd:double"&gt;47.87&lt;/D&gt;&lt;D xsi:type="xsd:double"&gt;47.87&lt;/D&gt;&lt;D xsi:type="xsd:double"&gt;45.69&lt;/D&gt;&lt;D xsi:type="xsd:double"&gt;45.69&lt;/D&gt;&lt;D xsi:type="xsd:double"&gt;45.69&lt;/D&gt;&lt;D xsi:type="xsd:double"&gt;45.69&lt;/D&gt;&lt;D xsi:type="xsd:double"&gt;45.69&lt;/D&gt;&lt;D xsi:type="xsd:double"&gt;43.39&lt;/D&gt;&lt;D xsi:type="xsd:double"&gt;43.39&lt;/D&gt;&lt;D xsi:type="xsd:double"&gt;43.39&lt;/D&gt;&lt;D xsi:type="xsd:double"&gt;43.39&lt;/D&gt;&lt;D xsi:type="xsd:double"&gt;43.39&lt;/D&gt;&lt;D xsi:type="xsd:double"&gt;46.02&lt;/D&gt;&lt;D xsi:type="xsd:double"&gt;46.02&lt;/D&gt;&lt;D xsi:type="xsd:double"&gt;46.02&lt;/D&gt;&lt;D xsi:type="xsd:double"&gt;46.02&lt;/D&gt;&lt;D xsi:type="xsd:double"&gt;46.02&lt;/D&gt;&lt;D xsi:type="xsd:double"&gt;44.11&lt;/D&gt;&lt;D xsi:type="xsd:double"&gt;44.11&lt;/D&gt;&lt;D xsi:type="xsd:double"&gt;44.11&lt;/D&gt;&lt;D xsi:type="xsd:double"&gt;44.11&lt;/D&gt;&lt;D xsi:type="xsd:double"&gt;44.11&lt;/D&gt;&lt;D xsi:type="xsd:double"&gt;41.43&lt;/D&gt;&lt;D xsi:type="xsd:double"&gt;41.43&lt;/D&gt;&lt;D xsi:type="xsd:double"&gt;41.43&lt;/D&gt;&lt;D xsi:type="xsd:double"&gt;41.43&lt;/D&gt;&lt;D xsi:type="xsd:double"&gt;41.43&lt;/D&gt;&lt;D xsi:type="xsd:double"&gt;42.49&lt;/D&gt;&lt;D xsi:type="xsd:double"&gt;42.49&lt;/D&gt;&lt;D xsi:type="xsd:double"&gt;42.49&lt;/D&gt;&lt;D xsi:type="xsd:double"&gt;42.49&lt;/D&gt;&lt;D xsi:type="xsd:double"&gt;42.49&lt;/D&gt;&lt;D xsi:type="xsd:double"&gt;41.7&lt;/D&gt;&lt;D xsi:type="xsd:double"&gt;41.7&lt;/D&gt;&lt;D xsi:type="xsd:double"&gt;41.7&lt;/D&gt;&lt;D xsi:type="xsd:double"&gt;41.7&lt;/D&gt;&lt;D xsi:type="xsd:double"&gt;41.7&lt;/D&gt;&lt;D xsi:type="xsd:double"&gt;44.89&lt;/D&gt;&lt;D xsi:type="xsd:double"&gt;44.89&lt;/D&gt;&lt;D xsi:type="xsd:double"&gt;44.89&lt;/D&gt;&lt;D xsi:type="xsd:double"&gt;44.89&lt;/D&gt;&lt;D xsi:type="xsd:double"&gt;42.52&lt;/D&gt;&lt;D xsi:type="xsd:double"&gt;42.52&lt;/D&gt;&lt;D xsi:type="xsd:double"&gt;42.52&lt;/D&gt;&lt;D xsi:type="xsd:double"&gt;42.52&lt;/D&gt;&lt;D xsi:type="xsd:double"&gt;42.52&lt;/D&gt;&lt;D xsi:type="xsd:double"&gt;40.99&lt;/D&gt;&lt;D xsi:type="xsd:double"&gt;40.99&lt;/D&gt;&lt;D xsi:type="xsd:double"&gt;40.99&lt;/D&gt;&lt;D xsi:type="xsd:double"&gt;40.99&lt;/D&gt;&lt;D xsi:type="xsd:double"&gt;40.99&lt;/D&gt;&lt;D xsi:type="xsd:double"&gt;41.52&lt;/D&gt;&lt;D xsi:type="xsd:double"&gt;41.52&lt;/D&gt;&lt;D xsi:type="xsd:double"&gt;41.52&lt;/D&gt;&lt;D xsi:type="xsd:double"&gt;41.52&lt;/D&gt;&lt;D xsi:type="xsd:double"&gt;41.52&lt;/D&gt;&lt;D xsi:type="xsd:double"&gt;43.11&lt;/D&gt;&lt;D xsi:type="xsd:double"&gt;43.11&lt;/D&gt;&lt;D xsi:type="xsd:double"&gt;43.11&lt;/D&gt;&lt;D xsi:type="xsd:double"&gt;43.11&lt;/D&gt;&lt;D xsi:type="xsd:double"&gt;43.11&lt;/D&gt;&lt;D xsi:type="xsd:double"&gt;46.41&lt;/D&gt;&lt;D xsi:type="xsd:double"&gt;46.41&lt;/D&gt;&lt;D xsi:type="xsd:double"&gt;46.41&lt;/D&gt;&lt;D xsi:type="xsd:double"&gt;46.41&lt;/D&gt;&lt;D xsi:type="xsd:double"&gt;51.49&lt;/D&gt;&lt;D xsi:type="xsd:double"&gt;51.49&lt;/D&gt;&lt;D xsi:type="xsd:double"&gt;51.49&lt;/D&gt;&lt;D xsi:type="xsd:double"&gt;51.49&lt;/D&gt;&lt;D xsi:type="xsd:double"&gt;45.8&lt;/D&gt;&lt;D xsi:type="xsd:double"&gt;45.8&lt;/D&gt;&lt;D xsi:type="xsd:double"&gt;45.8&lt;/D&gt;&lt;D xsi:type="xsd:double"&gt;45.8&lt;/D&gt;&lt;D xsi:type="xsd:double"&gt;45.8&lt;/D&gt;&lt;D xsi:type="xsd:double"&gt;42.67&lt;/D&gt;&lt;D xsi:type="xsd:double"&gt;42.67&lt;/D&gt;&lt;D xsi:type="xsd:double"&gt;42.67&lt;/D&gt;&lt;D xsi:type="xsd:double"&gt;42.67&lt;/D&gt;&lt;D xsi:type="xsd:double"&gt;46.62&lt;/D&gt;&lt;D xsi:type="xsd:double"&gt;46.62&lt;/D&gt;&lt;D xsi:type="xsd:double"&gt;46.62&lt;/D&gt;&lt;D xsi:type="xsd:double"&gt;46.62&lt;/D&gt;&lt;D xsi:type="xsd:double"&gt;46.62&lt;/D&gt;&lt;D xsi:type="xsd:double"&gt;44.73&lt;/D&gt;&lt;D xsi:type="xsd:double"&gt;44.73&lt;/D&gt;&lt;D xsi:type="xsd:double"&gt;44.73&lt;/D&gt;&lt;D xsi:type="xsd:double"&gt;44.73&lt;/D&gt;&lt;D xsi:type="xsd:double"&gt;44.73&lt;/D&gt;&lt;D xsi:type="xsd:double"&gt;44.65&lt;/D&gt;&lt;D xsi:type="xsd:double"&gt;44.65&lt;/D&gt;&lt;D xsi:type="xsd:double"&gt;44.65&lt;/D&gt;&lt;D xsi:type="xsd:double"&gt;44.65&lt;/D&gt;&lt;D xsi:type="xsd:double"&gt;44.65&lt;/D&gt;&lt;D xsi:type="xsd:double"&gt;48.61&lt;/D&gt;&lt;D xsi:type="xsd:double"&gt;48.61&lt;/D&gt;&lt;D xsi:type="xsd:double"&gt;48.61&lt;/D&gt;&lt;D xsi:type="xsd:double"&gt;48.61&lt;/D&gt;&lt;D xsi:type="xsd:double"&gt;48.77&lt;/D&gt;&lt;D xsi:type="xsd:double"&gt;48.77&lt;/D&gt;&lt;D xsi:type="xsd:double"&gt;48.77&lt;/D&gt;&lt;D xsi:type="xsd:double"&gt;48.77&lt;/D&gt;&lt;D xsi:type="xsd:double"&gt;48.77&lt;/D&gt;&lt;D xsi:type="xsd:double"&gt;54.95&lt;/D&gt;&lt;D xsi:type="xsd:double"&gt;54.95&lt;/D&gt;&lt;D xsi:type="xsd:double"&gt;54.95&lt;/D&gt;&lt;D xsi:type="xsd:double"&gt;54.95&lt;/D&gt;&lt;D xsi:type="xsd:double"&gt;54.95&lt;/D&gt;&lt;D xsi:type="xsd:double"&gt;63.41&lt;/D&gt;&lt;D xsi:type="xsd:double"&gt;63.41&lt;/D&gt;&lt;D xsi:type="xsd:double"&gt;63.41&lt;/D&gt;&lt;D xsi:type="xsd:double"&gt;63.41&lt;/D&gt;&lt;D xsi:type="xsd:double"&gt;63.41&lt;/D&gt;&lt;D xsi:type="xsd:double"&gt;62.49&lt;/D&gt;&lt;D xsi:type="xsd:double"&gt;62.49&lt;/D&gt;&lt;D xsi:type="xsd:double"&gt;62.49&lt;/D&gt;&lt;D xsi:type="xsd:double"&gt;62.49&lt;/D&gt;&lt;D xsi:type="xsd:double"&gt;62.49&lt;/D&gt;&lt;D xsi:type="xsd:double"&gt;60.38&lt;/D&gt;&lt;D xsi:type="xsd:double"&gt;60.38&lt;/D&gt;&lt;D xsi:type="xsd:double"&gt;60.38&lt;/D&gt;&lt;D xsi:type="xsd:double"&gt;60.38&lt;/D&gt;&lt;D xsi:type="xsd:double"&gt;60.38&lt;/D&gt;&lt;D xsi:type="xsd:double"&gt;64.03&lt;/D&gt;&lt;D xsi:type="xsd:double"&gt;64.03&lt;/D&gt;&lt;D xsi:type="xsd:double"&gt;64.03&lt;/D&gt;&lt;D xsi:type="xsd:double"&gt;64.03&lt;/D&gt;&lt;D xsi:type="xsd:double"&gt;64.03&lt;/D&gt;&lt;D xsi:type="xsd:double"&gt;68.61&lt;/D&gt;&lt;D xsi:type="xsd:double"&gt;68.61&lt;/D&gt;&lt;D xsi:type="xsd:double"&gt;68.61&lt;/D&gt;&lt;D xsi:type="xsd:double"&gt;68.61&lt;/D&gt;&lt;D xsi:type="xsd:double"&gt;67.06&lt;/D&gt;&lt;D xsi:type="xsd:double"&gt;67.06&lt;/D&gt;&lt;D xsi:type="xsd:double"&gt;67.06&lt;/D&gt;&lt;D xsi:type="xsd:double"&gt;67.06&lt;/D&gt;&lt;D xsi:type="xsd:double"&gt;67.06&lt;/D&gt;&lt;D xsi:type="xsd:double"&gt;60.01&lt;/D&gt;&lt;D xsi:type="xsd:double"&gt;60.01&lt;/D&gt;&lt;D xsi:type="xsd:double"&gt;60.01&lt;/D&gt;&lt;D xsi:type="xsd:double"&gt;60.01&lt;/D&gt;&lt;D xsi:type="xsd:double"&gt;60.01&lt;/D&gt;&lt;D xsi:type="xsd:double"&gt;59.9&lt;/D&gt;&lt;D xsi:type="xsd:double"&gt;59.9&lt;/D&gt;&lt;D xsi:type="xsd:double"&gt;59.9&lt;/D&gt;&lt;D xsi:type="xsd:double"&gt;59.9&lt;/D&gt;&lt;D xsi:type="xsd:double"&gt;59.9&lt;/D&gt;&lt;D xsi:type="xsd:double"&gt;65.5&lt;/D&gt;&lt;D xsi:type="xsd:double"&gt;65.5&lt;/D&gt;&lt;D xsi:type="xsd:double"&gt;65.5&lt;/D&gt;&lt;D xsi:type="xsd:double"&gt;65.5&lt;/D&gt;&lt;D xsi:type="xsd:double"&gt;65.5&lt;/D&gt;&lt;D xsi:type="xsd:double"&gt;66.47&lt;/D&gt;&lt;D xsi:type="xsd:double"&gt;66.47&lt;/D&gt;&lt;D xsi:type="xsd:double"&gt;66.47&lt;/D&gt;&lt;D xsi:type="xsd:double"&gt;66.47&lt;/D&gt;&lt;D xsi:type="xsd:double"&gt;66.47&lt;/D&gt;&lt;D xsi:type="xsd:double"&gt;74.53&lt;/D&gt;&lt;D xsi:type="xsd:double"&gt;74.53&lt;/D&gt;&lt;D xsi:type="xsd:double"&gt;74.53&lt;/D&gt;&lt;D xsi:type="xsd:double"&gt;74.53&lt;/D&gt;&lt;D xsi:type="xsd:double"&gt;74.53&lt;/D&gt;&lt;D xsi:type="xsd:double"&gt;69.83&lt;/D&gt;&lt;D xsi:type="xsd:double"&gt;69.83&lt;/D&gt;&lt;D xsi:type="xsd:double"&gt;69.83&lt;/D&gt;&lt;D xsi:type="xsd:double"&gt;69.83&lt;/D&gt;&lt;D xsi:type="xsd:double"&gt;69.83&lt;/D&gt;&lt;D xsi:type="xsd:double"&gt;62.24&lt;/D&gt;&lt;D xsi:type="xsd:double"&gt;62.24&lt;/D&gt;&lt;D xsi:type="xsd:double"&gt;62.24&lt;/D&gt;&lt;D xsi:type="xsd:double"&gt;62.24&lt;/D&gt;&lt;D xsi:type="xsd:double"&gt;57.08&lt;/D&gt;&lt;D xsi:type="xsd:double"&gt;57.08&lt;/D&gt;&lt;D xsi:type="xsd:double"&gt;57.08&lt;/D&gt;&lt;D xsi:type="xsd:double"&gt;57.08&lt;/D&gt;&lt;D xsi:type="xsd:double"&gt;57.08&lt;/D&gt;&lt;D xsi:type="xsd:double"&gt;56.05&lt;/D&gt;&lt;D xsi:type="xsd:double"&gt;56.05&lt;/D&gt;&lt;D xsi:type="xsd:double"&gt;56.05&lt;/D&gt;&lt;D xsi:type="xsd:double"&gt;56.05&lt;/D&gt;&lt;D xsi:type="xsd:double"&gt;56.05&lt;/D&gt;&lt;D xsi:type="xsd:double"&gt;61.52&lt;/D&gt;&lt;D xsi:type="xsd:double"&gt;61.52&lt;/D&gt;&lt;D xsi:type="xsd:double"&gt;61.52&lt;/D&gt;&lt;D xsi:type="xsd:double"&gt;61.52&lt;/D&gt;&lt;D xsi:type="xsd:double"&gt;61.52&lt;/D&gt;&lt;D xsi:type="xsd:double"&gt;59.09&lt;/D&gt;&lt;D xsi:type="xsd:double"&gt;59.09&lt;/D&gt;&lt;D xsi:type="xsd:double"&gt;59.09&lt;/D&gt;&lt;D xsi:type="xsd:double"&gt;59.09&lt;/D&gt;&lt;D xsi:type="xsd:double"&gt;59.09&lt;/D&gt;&lt;D xsi:type="xsd:double"&gt;57.19&lt;/D&gt;&lt;D xsi:type="xsd:double"&gt;57.19&lt;/D&gt;&lt;D xsi:type="xsd:double"&gt;57.19&lt;/D&gt;&lt;D xsi:type="xsd:double"&gt;57.19&lt;/D&gt;&lt;D xsi:type="xsd:double"&gt;58.82&lt;/D&gt;&lt;D xsi:type="xsd:double"&gt;58.82&lt;/D&gt;&lt;D xsi:type="xsd:double"&gt;58.82&lt;/D&gt;&lt;D xsi:type="xsd:double"&gt;58.82&lt;/D&gt;&lt;D xsi:type="xsd:double"&gt;58.82&lt;/D&gt;&lt;D xsi:type="xsd:double"&gt;64.75&lt;/D&gt;&lt;D xsi:type="xsd:double"&gt;64.75&lt;/D&gt;&lt;D xsi:type="xsd:double"&gt;64.75&lt;/D&gt;&lt;D xsi:type="xsd:double"&gt;64.75&lt;/D&gt;&lt;D xsi:type="xsd:double"&gt;64.75&lt;/D&gt;&lt;D xsi:type="xsd:double"&gt;65.68&lt;/D&gt;&lt;D xsi:type="xsd:double"&gt;65.68&lt;/D&gt;&lt;D xsi:type="xsd:double"&gt;65.68&lt;/D&gt;&lt;D xsi:type="xsd:double"&gt;65.68&lt;/D&gt;&lt;D xsi:type="xsd:double"&gt;65.68&lt;/D&gt;&lt;D xsi:type="xsd:double"&gt;57.32&lt;/D&gt;&lt;D xsi:type="xsd:double"&gt;57.32&lt;/D&gt;&lt;D xsi:type="xsd:double"&gt;57.32&lt;/D&gt;&lt;D xsi:type="xsd:double"&gt;57.32&lt;/D&gt;&lt;D xsi:type="xsd:double"&gt;57.32&lt;/D&gt;&lt;D xsi:type="xsd:double"&gt;55.68&lt;/D&gt;&lt;D xsi:type="xsd:double"&gt;55.68&lt;/D&gt;&lt;D xsi:type="xsd:double"&gt;55.68&lt;/D&gt;&lt;D xsi:type="xsd:double"&gt;55.68&lt;/D&gt;&lt;D xsi:type="xsd:double"&gt;55.68&lt;/D&gt;&lt;D xsi:type="xsd:double"&gt;57.1&lt;/D&gt;&lt;D xsi:type="xsd:double"&gt;57.1&lt;/D&gt;&lt;D xsi:type="xsd:double"&gt;57.1&lt;/D&gt;&lt;D xsi:type="xsd:double"&gt;57.1&lt;/D&gt;&lt;D xsi:type="xsd:double"&gt;57.1&lt;/D&gt;&lt;D xsi:type="xsd:double"&gt;53.51&lt;/D&gt;&lt;D xsi:type="xsd:double"&gt;53.51&lt;/D&gt;&lt;D xsi:type="xsd:double"&gt;53.51&lt;/D&gt;&lt;D xsi:type="xsd:double"&gt;53.51&lt;/D&gt;&lt;D xsi:type="xsd:double"&gt;53.51&lt;/D&gt;&lt;D xsi:type="xsd:double"&gt;53.51&lt;/D&gt;&lt;D xsi:type="xsd:double"&gt;53.51&lt;/D&gt;&lt;D xsi:type="xsd:double"&gt;53.51&lt;/D&gt;&lt;/FQL&gt;&lt;FQL&gt;&lt;Q&gt;MOWI-NO^JULIAN(P_PRICE_AVG(1/1/2020,12/31/2020,,USD).DATES)&lt;/Q&gt;&lt;R&gt;1&lt;/R&gt;&lt;C&gt;1&lt;/C&gt;&lt;D xsi:type="xsd:long"&gt;44195&lt;/D&gt;&lt;/FQL&gt;&lt;FQL&gt;&lt;Q&gt;MOWI-NO^P_PRICE_AVG(1/1/2020,12/31/2020,,USD)&lt;/Q&gt;&lt;R&gt;1&lt;/R&gt;&lt;C&gt;1&lt;/C&gt;&lt;D xsi:type="xsd:double"&gt;19.645525&lt;/D&gt;&lt;/FQL&gt;&lt;FQL&gt;&lt;Q&gt;BAKKA-NO^P_PRICE_AVG(1/1/2020,12/31/2020,,USD)&lt;/Q&gt;&lt;R&gt;1&lt;/R&gt;&lt;C&gt;1&lt;/C&gt;&lt;D xsi:type="xsd:double"&gt;62.573227&lt;/D&gt;&lt;/FQL&gt;&lt;FQL&gt;&lt;Q&gt;SALM-NO^P_PRICE_AVG(1/1/2020,12/31/2020,,USD)&lt;/Q&gt;&lt;R&gt;1&lt;/R&gt;&lt;C&gt;1&lt;/C&gt;&lt;D xsi:type="xsd:double"&gt;48.782097&lt;/D&gt;&lt;/FQL&gt;&lt;FQL&gt;&lt;Q&gt;GSF-NO^P_PRICE_AVG(1/1/2020,12/31/2020,,USD)&lt;/Q&gt;&lt;R&gt;1&lt;/R&gt;&lt;C&gt;1&lt;/C&gt;&lt;D xsi:type="xsd:double"&gt;10.587678&lt;/D&gt;&lt;/FQL&gt;&lt;FQL&gt;&lt;Q&gt;LSG-NO^P_PRICE_AVG(1/1/2020,12/31/2020,,USD)&lt;/Q&gt;&lt;R&gt;1&lt;/R&gt;&lt;C&gt;1&lt;/C&gt;&lt;D xsi:type="xsd:double"&gt;5.923813&lt;/D&gt;&lt;/FQL&gt;&lt;FQL&gt;&lt;Q&gt;SALMOCAM-CL^P_PRICE_AVG(1/1/2020,12/31/2020,,USD)&lt;/Q&gt;&lt;R&gt;1&lt;/R&gt;&lt;C&gt;1&lt;/C&gt;&lt;D xsi:type="xsd:double"&gt;6.199429&lt;/D&gt;&lt;/FQL&gt;&lt;FQL&gt;&lt;Q&gt;AQUA-RU^P_PRICE_AVG(1/1/2020,12/31/2020,,USD)&lt;/Q&gt;&lt;R&gt;1&lt;/R&gt;&lt;C&gt;1&lt;/C&gt;&lt;D xsi:type="xsd:double"&gt;3.2333992&lt;/D&gt;&lt;/FQL&gt;&lt;FQL&gt;&lt;Q&gt;NOKRUB^JULIAN(FG_PRICE(-2AY,0,,USD).DATES)&lt;/Q&gt;&lt;R&gt;523&lt;/R&gt;&lt;C&gt;1&lt;/C&gt;&lt;D xsi:type="xsd:long"&gt;43707&lt;/D&gt;&lt;D xsi:type="xsd:long"&gt;43710&lt;/D&gt;&lt;D xsi:type="xsd:long"&gt;43711&lt;/D&gt;&lt;D xsi:type="xsd:long"&gt;43712&lt;/D&gt;&lt;D xsi:type="xsd:long"&gt;43713&lt;/D&gt;&lt;D xsi:type="xsd:long"&gt;43714&lt;/D&gt;&lt;D xsi:type="xsd:long"&gt;43717&lt;/D&gt;&lt;D xsi:type="xsd:long"&gt;43718&lt;/D&gt;&lt;D xsi:type="xsd:long"&gt;43719&lt;/D&gt;&lt;D xsi:type="xsd:long"&gt;43720&lt;/D&gt;&lt;D xsi:type="xsd:long"&gt;43721&lt;/D&gt;&lt;D xsi:type="xsd:long"&gt;43724&lt;/D&gt;&lt;D xsi:type="xsd:long"&gt;43725&lt;/D&gt;&lt;D xsi:type="xsd:long"&gt;43726&lt;/D&gt;&lt;D xsi:type="xsd:long"&gt;43727&lt;/D&gt;&lt;D xsi:type="xsd:long"&gt;43728&lt;/D&gt;&lt;D xsi:type="xsd:long"&gt;43731&lt;/D&gt;&lt;D xsi:type="xsd:long"&gt;43732&lt;/D&gt;&lt;D xsi:type="xsd:long"&gt;43733&lt;/D&gt;&lt;D xsi:type="xsd:long"&gt;43734&lt;/D&gt;&lt;D xsi:type="xsd:long"&gt;43735&lt;/D&gt;&lt;D xsi:type="xsd:long"&gt;43738&lt;/D&gt;&lt;D xsi:type="xsd:long"&gt;43739&lt;/D&gt;&lt;D xsi:type="xsd:long"&gt;43740&lt;/D&gt;&lt;D xsi:type="xsd:long"&gt;43741&lt;/D&gt;&lt;D xsi:type="xsd:long"&gt;43742&lt;/D&gt;&lt;D xsi:type="xsd:long"&gt;43745&lt;/D&gt;&lt;D xsi:type="xsd:long"&gt;43746&lt;/D&gt;&lt;D xsi:type="xsd:long"&gt;43747&lt;/D&gt;&lt;D xsi:type="xsd:long"&gt;43748&lt;/D&gt;&lt;D xsi:type="xsd:long"&gt;43749&lt;/D&gt;&lt;D xsi:type="xsd:long"&gt;43752&lt;/D&gt;&lt;D xsi:type="xsd:long"&gt;43753&lt;/D&gt;&lt;D xsi:type="xsd:long"&gt;43754&lt;/D&gt;&lt;D xsi:type="xsd:long"&gt;43755&lt;/D&gt;&lt;D xsi:type="xsd:long"&gt;43756&lt;/D&gt;&lt;D xsi:type="xsd:long"&gt;43759&lt;/D&gt;&lt;D xsi:type="xsd:long"&gt;43760&lt;/D&gt;&lt;D xsi:type="xsd:long"&gt;43761&lt;/D&gt;&lt;D xsi:type="xsd:long"&gt;43762&lt;/D&gt;&lt;D xsi:type="xsd:long"&gt;43763&lt;/D&gt;&lt;D xsi:type="xsd:long"&gt;43766&lt;/D&gt;&lt;D xsi:type="xsd:long"&gt;43767&lt;/D&gt;&lt;D xsi:type="xsd:long"&gt;43768&lt;/D&gt;&lt;D xsi:type="xsd:long"&gt;43769&lt;/D&gt;&lt;D xsi:type="xsd:long"&gt;43770&lt;/D&gt;&lt;D xsi:type="xsd:long"&gt;43773&lt;/D&gt;&lt;D xsi:type="xsd:long"&gt;43774&lt;/D&gt;&lt;D xsi:type="xsd:long"&gt;43775&lt;/D&gt;&lt;D xsi:type="xsd:long"&gt;43776&lt;/D&gt;&lt;D xsi:type="xsd:long"&gt;43777&lt;/D&gt;&lt;D xsi:type="xsd:long"&gt;43780&lt;/D&gt;&lt;D xsi:type="xsd:long"&gt;43781&lt;/D&gt;&lt;D xsi:type="xsd:long"&gt;43782&lt;/D&gt;&lt;D xsi:type="xsd:long"&gt;43783&lt;/D&gt;&lt;D xsi:type="xsd:long"&gt;43784&lt;/D&gt;&lt;D xsi:type="xsd:long"&gt;43787&lt;/D&gt;&lt;D xsi:type="xsd:long"&gt;43788&lt;/D&gt;&lt;D xsi:type="xsd:long"&gt;43789&lt;/D&gt;&lt;D xsi:type="xsd:long"&gt;43790&lt;/D&gt;&lt;D xsi:type="xsd:long"&gt;43791&lt;/D&gt;&lt;D xsi:type="xsd:long"&gt;43794&lt;/D&gt;&lt;D xsi:type="xsd:long"&gt;43795&lt;/D&gt;&lt;D xsi:type="xsd:long"&gt;43796&lt;/D&gt;&lt;D xsi:type="xsd:long"&gt;43797&lt;/D&gt;&lt;D xsi:type="xsd:long"&gt;43798&lt;/D&gt;&lt;D xsi:type="xsd:long"&gt;43801&lt;/D&gt;&lt;D xsi:type="xsd:long"&gt;43802&lt;/D&gt;&lt;D xsi:type="xsd:long"&gt;43803&lt;/D&gt;&lt;D xsi:type="xsd:long"&gt;43804&lt;/D&gt;&lt;D xsi:type="xsd:long"&gt;43805&lt;/D&gt;&lt;D xsi:type="xsd:long"&gt;43808&lt;/D&gt;&lt;D xsi:type="xsd:long"&gt;43809&lt;/D&gt;&lt;D xsi:type="xsd:long"&gt;43810&lt;/D&gt;&lt;D xsi:type="xsd:long"&gt;43811&lt;/D&gt;&lt;D xsi:type="xsd:long"&gt;43812&lt;/D&gt;&lt;D xsi:type="xsd:long"&gt;43815&lt;/D&gt;&lt;D xsi:type="xsd:long"&gt;43816&lt;/D&gt;&lt;D xsi:type="xsd:long"&gt;43817&lt;/D&gt;&lt;D xsi:type="xsd:long"&gt;43818&lt;/D&gt;&lt;D xsi:type="xsd:long"&gt;43819&lt;/D&gt;&lt;D xsi:type="xsd:long"&gt;43822&lt;/D&gt;&lt;D xsi:type="xsd:long"&gt;43823&lt;/D&gt;&lt;D xsi:type="xsd:long"&gt;43824&lt;/D&gt;&lt;D xsi:type="xsd:long"&gt;43825&lt;/D&gt;&lt;D xsi:type="xsd:long"&gt;43826&lt;/D&gt;&lt;D xsi:type="xsd:long"&gt;43829&lt;/D&gt;&lt;D xsi:type="xsd:long"&gt;43830&lt;/D&gt;&lt;D xsi:type="xsd:long"&gt;43831&lt;/D&gt;&lt;D xsi:type="xsd:long"&gt;43832&lt;/D&gt;&lt;D xsi:type="xsd:long"&gt;43833&lt;/D&gt;&lt;D xsi:type="xsd:long"&gt;43836&lt;/D&gt;&lt;D xsi:type="xsd:long"&gt;43837&lt;/D&gt;&lt;D xsi:type="xsd:long"&gt;43838&lt;/D&gt;&lt;D xsi:type="xsd:long"&gt;43839&lt;/D&gt;&lt;D xsi:type="xsd:long"&gt;43840&lt;/D&gt;&lt;D xsi:type="xsd:long"&gt;43843&lt;/D&gt;&lt;D xsi:type="xsd:long"&gt;43844&lt;/D&gt;&lt;D xsi:type="xsd:long"&gt;43845&lt;/D&gt;&lt;D xsi:type="xsd:long"&gt;43846&lt;/D&gt;&lt;D xsi:type="xsd:long"&gt;43847&lt;/D&gt;&lt;D xsi:type="xsd:long"&gt;43850&lt;/D&gt;&lt;D xsi:type="xsd:long"&gt;43851&lt;/D&gt;&lt;D xsi:type="xsd:long"&gt;43852&lt;/D&gt;&lt;D xsi:type="xsd:long"&gt;43853&lt;/D&gt;&lt;D xsi:type="xsd:long"&gt;43854&lt;/D&gt;&lt;D xsi:type="xsd:long"&gt;43857&lt;/D&gt;&lt;D xsi:type="xsd:long"&gt;43858&lt;/D&gt;&lt;D xsi:type="xsd:long"&gt;43859&lt;/D&gt;&lt;D xsi:type="xsd:long"&gt;43860&lt;/D&gt;&lt;D xsi:type="xsd:long"&gt;43861&lt;/D&gt;&lt;D xsi:type="xsd:long"&gt;43864&lt;/D&gt;&lt;D xsi:type="xsd:long"&gt;43865&lt;/D&gt;&lt;D xsi:type="xsd:long"&gt;43866&lt;/D&gt;&lt;D xsi:type="xsd:long"&gt;43867&lt;/D&gt;&lt;D xsi:type="xsd:long"&gt;43868&lt;/D&gt;&lt;D xsi:type="xsd:long"&gt;43871&lt;/D&gt;&lt;D xsi:type="xsd:long"&gt;43872&lt;/D&gt;&lt;D xsi:type="xsd:long"&gt;43873&lt;/D&gt;&lt;D xsi:type="xsd:long"&gt;43874&lt;/D&gt;&lt;D xsi:type="xsd:long"&gt;43875&lt;/D&gt;&lt;D xsi:type="xsd:long"&gt;43878&lt;/D&gt;&lt;D xsi:type="xsd:long"&gt;43879&lt;/D&gt;&lt;D xsi:type="xsd:long"&gt;43880&lt;/D&gt;&lt;D xsi:type="xsd:long"&gt;43881&lt;/D&gt;&lt;D xsi:type="xsd:long"&gt;43882&lt;/D&gt;&lt;D xsi:type="xsd:long"&gt;43885&lt;/D&gt;&lt;D xsi:type="xsd:long"&gt;43886&lt;/D&gt;&lt;D xsi:type="xsd:long"&gt;43887&lt;/D&gt;&lt;D xsi:type="xsd:long"&gt;43888&lt;/D&gt;&lt;D xsi:type="xsd:long"&gt;43889&lt;/D&gt;&lt;D xsi:type="xsd:long"&gt;43892&lt;/D&gt;&lt;D xsi:type="xsd:long"&gt;43893&lt;/D&gt;&lt;D xsi:type="xsd:long"&gt;43894&lt;/D&gt;&lt;D xsi:type="xsd:long"&gt;43895&lt;/D&gt;&lt;D xsi:type="xsd:long"&gt;43896&lt;/D&gt;&lt;D xsi:type="xsd:long"&gt;43899&lt;/D&gt;&lt;D xsi:type="xsd:long"&gt;43900&lt;/D&gt;&lt;D xsi:type="xsd:long"&gt;43901&lt;/D&gt;&lt;D xsi:type="xsd:long"&gt;43902&lt;/D&gt;&lt;D xsi:type="xsd:long"&gt;43903&lt;/D&gt;&lt;D xsi:type="xsd:long"&gt;43906&lt;/D&gt;&lt;D xsi:type="xsd:long"&gt;43907&lt;/D&gt;&lt;D xsi:type="xsd:long"&gt;43908&lt;/D&gt;&lt;D xsi:type="xsd:long"&gt;43909&lt;/D&gt;&lt;D xsi:type="xsd:long"&gt;43910&lt;/D&gt;&lt;D xsi:type="xsd:long"&gt;43913&lt;/D&gt;&lt;D xsi:type="xsd:long"&gt;43914&lt;/D&gt;&lt;D xsi:type="xsd:long"&gt;43915&lt;/D&gt;&lt;D xsi:type="xsd:long"&gt;43916&lt;/D&gt;&lt;D xsi:type="xsd:long"&gt;43917&lt;/D&gt;&lt;D xsi:type="xsd:long"&gt;43920&lt;/D&gt;&lt;D xsi:type="xsd:long"&gt;43921&lt;/D&gt;&lt;D xsi:type="xsd:long"&gt;43922&lt;/D&gt;&lt;D xsi:type="xsd:long"&gt;43923&lt;/D&gt;&lt;D xsi:type="xsd:long"&gt;43924&lt;/D&gt;&lt;D xsi:type="xsd:long"&gt;43927&lt;/D&gt;&lt;D xsi:type="xsd:long"&gt;43928&lt;/D&gt;&lt;D xsi:type="xsd:long"&gt;43929&lt;/D&gt;&lt;D xsi:type="xsd:long"&gt;43930&lt;/D&gt;&lt;D xsi:type="xsd:long"&gt;43931&lt;/D&gt;&lt;D xsi:type="xsd:long"&gt;43934&lt;/D&gt;&lt;D xsi:type="xsd:long"&gt;43935&lt;/D&gt;&lt;D xsi:type="xsd:long"&gt;43936&lt;/D&gt;&lt;D xsi:type="xsd:long"&gt;43937&lt;/D&gt;&lt;D xsi:type="xsd:long"&gt;43938&lt;/D&gt;&lt;D xsi:type="xsd:long"&gt;43941&lt;/D&gt;&lt;D xsi:type="xsd:long"&gt;43942&lt;/D&gt;&lt;D xsi:type="xsd:long"&gt;43943&lt;/D&gt;&lt;D xsi:type="xsd:long"&gt;43944&lt;/D&gt;&lt;D xsi:type="xsd:long"&gt;43945&lt;/D&gt;&lt;D xsi:type="xsd:long"&gt;43948&lt;/D&gt;&lt;D xsi:type="xsd:long"&gt;43949&lt;/D&gt;&lt;D xsi:type="xsd:long"&gt;43950&lt;/D&gt;&lt;D xsi:type="xsd:long"&gt;43951&lt;/D&gt;&lt;D xsi:type="xsd:long"&gt;43952&lt;/D&gt;&lt;D xsi:type="xsd:long"&gt;43955&lt;/D&gt;&lt;D xsi:type="xsd:long"&gt;43956&lt;/D&gt;&lt;D xsi:type="xsd:long"&gt;43957&lt;/D&gt;&lt;D xsi:type="xsd:long"&gt;43958&lt;/D&gt;&lt;D xsi:type="xsd:long"&gt;43959&lt;/D&gt;&lt;D xsi:type="xsd:long"&gt;43962&lt;/D&gt;&lt;D xsi:type="xsd:long"&gt;43963&lt;/D&gt;&lt;D xsi:type="xsd:long"&gt;43964&lt;/D&gt;&lt;D xsi:type="xsd:long"&gt;43965&lt;/D&gt;&lt;D xsi:type="xsd:long"&gt;43966&lt;/D&gt;&lt;D xsi:type="xsd:long"&gt;43969&lt;/D&gt;&lt;D xsi:type="xsd:long"&gt;43970&lt;/D&gt;&lt;D xsi:type="xsd:long"&gt;43971&lt;/D&gt;&lt;D xsi:type="xsd:long"&gt;43972&lt;/D&gt;&lt;D xsi:type="xsd:long"&gt;43973&lt;/D&gt;&lt;D xsi:type="xsd:long"&gt;43976&lt;/D&gt;&lt;D xsi:type="xsd:long"&gt;43977&lt;/D&gt;&lt;D xsi:type="xsd:long"&gt;43978&lt;/D&gt;&lt;D xsi:type="xsd:long"&gt;43979&lt;/D&gt;&lt;D xsi:type="xsd:long"&gt;43980&lt;/D&gt;&lt;D xsi:type="xsd:long"&gt;43983&lt;/D&gt;&lt;D xsi:type="xsd:long"&gt;43984&lt;/D&gt;&lt;D xsi:type="xsd:long"&gt;43985&lt;/D&gt;&lt;D xsi:type="xsd:long"&gt;43986&lt;/D&gt;&lt;D xsi:type="xsd:long"&gt;43987&lt;/D&gt;&lt;D xsi:type="xsd:long"&gt;43990&lt;/D&gt;&lt;D xsi:type="xsd:long"&gt;43991&lt;/D&gt;&lt;D xsi:type="xsd:long"&gt;43992&lt;/D&gt;&lt;D xsi:type="xsd:long"&gt;43993&lt;/D&gt;&lt;D xsi:type="xsd:long"&gt;43994&lt;/D&gt;&lt;D xsi:type="xsd:long"&gt;43997&lt;/D&gt;&lt;D xsi:type="xsd:long"&gt;43998&lt;/D&gt;&lt;D xsi:type="xsd:long"&gt;43999&lt;/D&gt;&lt;D xsi:type="xsd:long"&gt;44000&lt;/D&gt;&lt;D xsi:type="xsd:long"&gt;44001&lt;/D&gt;&lt;D xsi:type="xsd:long"&gt;44004&lt;/D&gt;&lt;D xsi:type="xsd:long"&gt;44005&lt;/D&gt;&lt;D xsi:type="xsd:long"&gt;44006&lt;/D&gt;&lt;D xsi:type="xsd:long"&gt;44007&lt;/D&gt;&lt;D xsi:type="xsd:long"&gt;44008&lt;/D&gt;&lt;D xsi:type="xsd:long"&gt;44011&lt;/D&gt;&lt;D xsi:type="xsd:long"&gt;44012&lt;/D&gt;&lt;D xsi:type="xsd:long"&gt;44013&lt;/D&gt;&lt;D xsi:type="xsd:long"&gt;44014&lt;/D&gt;&lt;D xsi:type="xsd:long"&gt;44015&lt;/D&gt;&lt;D xsi:type="xsd:long"&gt;44018&lt;/D&gt;&lt;D xsi:type="xsd:long"&gt;44019&lt;/D&gt;&lt;D xsi:type="xsd:long"&gt;44020&lt;/D&gt;&lt;D xsi:type="xsd:long"&gt;44021&lt;/D&gt;&lt;D xsi:type="xsd:long"&gt;44022&lt;/D&gt;&lt;D xsi:type="xsd:long"&gt;44025&lt;/D&gt;&lt;D xsi:type="xsd:long"&gt;44026&lt;/D&gt;&lt;D xsi:type="xsd:long"&gt;44027&lt;/D&gt;&lt;D xsi:type="xsd:long"&gt;44028&lt;/D&gt;&lt;D xsi:type="xsd:long"&gt;44029&lt;/D&gt;&lt;D xsi:type="xsd:long"&gt;44032&lt;/D&gt;&lt;D xsi:type="xsd:long"&gt;44033&lt;/D&gt;&lt;D xsi:type="xsd:long"&gt;44034&lt;/D&gt;&lt;D xsi:type="xsd:long"&gt;44035&lt;/D&gt;&lt;D xsi:type="xsd:long"&gt;44036&lt;/D&gt;&lt;D xsi:type="xsd:long"&gt;44039&lt;/D&gt;&lt;D xsi:type="xsd:long"&gt;44040&lt;/D&gt;&lt;D xsi:type="xsd:long"&gt;44041&lt;/D&gt;&lt;D xsi:type="xsd:long"&gt;44042&lt;/D&gt;&lt;D xsi:type="xsd:long"&gt;44043&lt;/D&gt;&lt;D xsi:type="xsd:long"&gt;44046&lt;/D&gt;&lt;D xsi:type="xsd:long"&gt;44047&lt;/D&gt;&lt;D xsi:type="xsd:long"&gt;44048&lt;/D&gt;&lt;D xsi:type="xsd:long"&gt;44049&lt;/D&gt;&lt;D xsi:type="xsd:long"&gt;44050&lt;/D&gt;&lt;D xsi:type="xsd:long"&gt;44053&lt;/D&gt;&lt;D xsi:type="xsd:long"&gt;44054&lt;/D&gt;&lt;D xsi:type="xsd:long"&gt;44055&lt;/D&gt;&lt;D xsi:type="xsd:long"&gt;44056&lt;/D&gt;&lt;D xsi:type="xsd:long"&gt;44057&lt;/D&gt;&lt;D xsi:type="xsd:long"&gt;44060&lt;/D&gt;&lt;D xsi:type="xsd:long"&gt;44061&lt;/D&gt;&lt;D xsi:type="xsd:long"&gt;44062&lt;/D&gt;&lt;D xsi:type="xsd:long"&gt;44063&lt;/D&gt;&lt;D xsi:type="xsd:long"&gt;44064&lt;/D&gt;&lt;D xsi:type="xsd:long"&gt;44067&lt;/D&gt;&lt;D xsi:type="xsd:long"&gt;44068&lt;/D&gt;&lt;D xsi:type="xsd:long"&gt;44069&lt;/D&gt;&lt;D xsi:type="xsd:long"&gt;44070&lt;/D&gt;&lt;D xsi:type="xsd:long"&gt;44071&lt;/D&gt;&lt;D xsi:type="xsd:long"&gt;44074&lt;/D&gt;&lt;D xsi:type="xsd:long"&gt;44075&lt;/D&gt;&lt;D xsi:type="xsd:long"&gt;44076&lt;/D&gt;&lt;D xsi:type="xsd:long"&gt;44077&lt;/D&gt;&lt;D xsi:type="xsd:long"&gt;44078&lt;/D&gt;&lt;D xsi:type="xsd:long"&gt;44081&lt;/D&gt;&lt;D xsi:type="xsd:long"&gt;44082&lt;/D&gt;&lt;D xsi:type="xsd:long"&gt;44083&lt;/D&gt;&lt;D xsi:type="xsd:long"&gt;44084&lt;/D&gt;&lt;D xsi:type="xsd:long"&gt;44085&lt;/D&gt;&lt;D xsi:type="xsd:long"&gt;44088&lt;/D&gt;&lt;D xsi:type="xsd:long"&gt;44089&lt;/D&gt;&lt;D xsi:type="xsd:long"&gt;44090&lt;/D&gt;&lt;D xsi:type="xsd:long"&gt;44091&lt;/D&gt;&lt;D xsi:type="xsd:long"&gt;44092&lt;/D&gt;&lt;D xsi:type="xsd:long"&gt;44095&lt;/D&gt;&lt;D xsi:type="xsd:long"&gt;44096&lt;/D&gt;&lt;D xsi:type="xsd:long"&gt;44097&lt;/D&gt;&lt;D xsi:type="xsd:long"&gt;44098&lt;/D&gt;&lt;D xsi:type="xsd:long"&gt;44099&lt;/D&gt;&lt;D xsi:type="xsd:long"&gt;44102&lt;/D&gt;&lt;D xsi:type="xsd:long"&gt;44103&lt;/D&gt;&lt;D xsi:type="xsd:long"&gt;44104&lt;/D&gt;&lt;D xsi:type="xsd:long"&gt;44105&lt;/D&gt;&lt;D xsi:type="xsd:long"&gt;44106&lt;/D&gt;&lt;D xsi:type="xsd:long"&gt;44109&lt;/D&gt;&lt;D xsi:type="xsd:long"&gt;44110&lt;/D&gt;&lt;D xsi:type="xsd:long"&gt;44111&lt;/D&gt;&lt;D xsi:type="xsd:long"&gt;44112&lt;/D&gt;&lt;D xsi:typ</t>
        </r>
      </text>
    </comment>
    <comment ref="A1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e="xsd:long"&gt;44113&lt;/D&gt;&lt;D xsi:type="xsd:long"&gt;44116&lt;/D&gt;&lt;D xsi:type="xsd:long"&gt;44117&lt;/D&gt;&lt;D xsi:type="xsd:long"&gt;44118&lt;/D&gt;&lt;D xsi:type="xsd:long"&gt;44119&lt;/D&gt;&lt;D xsi:type="xsd:long"&gt;44120&lt;/D&gt;&lt;D xsi:type="xsd:long"&gt;44123&lt;/D&gt;&lt;D xsi:type="xsd:long"&gt;44124&lt;/D&gt;&lt;D xsi:type="xsd:long"&gt;44125&lt;/D&gt;&lt;D xsi:type="xsd:long"&gt;44126&lt;/D&gt;&lt;D xsi:type="xsd:long"&gt;44127&lt;/D&gt;&lt;D xsi:type="xsd:long"&gt;44130&lt;/D&gt;&lt;D xsi:type="xsd:long"&gt;44131&lt;/D&gt;&lt;D xsi:type="xsd:long"&gt;44132&lt;/D&gt;&lt;D xsi:type="xsd:long"&gt;44133&lt;/D&gt;&lt;D xsi:type="xsd:long"&gt;44134&lt;/D&gt;&lt;D xsi:type="xsd:long"&gt;44137&lt;/D&gt;&lt;D xsi:type="xsd:long"&gt;44138&lt;/D&gt;&lt;D xsi:type="xsd:long"&gt;44139&lt;/D&gt;&lt;D xsi:type="xsd:long"&gt;44140&lt;/D&gt;&lt;D xsi:type="xsd:long"&gt;44141&lt;/D&gt;&lt;D xsi:type="xsd:long"&gt;44144&lt;/D&gt;&lt;D xsi:type="xsd:long"&gt;44145&lt;/D&gt;&lt;D xsi:type="xsd:long"&gt;44146&lt;/D&gt;&lt;D xsi:type="xsd:long"&gt;44147&lt;/D&gt;&lt;D xsi:type="xsd:long"&gt;44148&lt;/D&gt;&lt;D xsi:type="xsd:long"&gt;44151&lt;/D&gt;&lt;D xsi:type="xsd:long"&gt;44152&lt;/D&gt;&lt;D xsi:type="xsd:long"&gt;44153&lt;/D&gt;&lt;D xsi:type="xsd:long"&gt;44154&lt;/D&gt;&lt;D xsi:type="xsd:long"&gt;44155&lt;/D&gt;&lt;D xsi:type="xsd:long"&gt;44158&lt;/D&gt;&lt;D xsi:type="xsd:long"&gt;44159&lt;/D&gt;&lt;D xsi:type="xsd:long"&gt;44160&lt;/D&gt;&lt;D xsi:type="xsd:long"&gt;44161&lt;/D&gt;&lt;D xsi:type="xsd:long"&gt;44162&lt;/D&gt;&lt;D xsi:type="xsd:long"&gt;44165&lt;/D&gt;&lt;D xsi:type="xsd:long"&gt;44166&lt;/D&gt;&lt;D xsi:type="xsd:long"&gt;44167&lt;/D&gt;&lt;D xsi:type="xsd:long"&gt;44168&lt;/D&gt;&lt;D xsi:type="xsd:long"&gt;44169&lt;/D&gt;&lt;D xsi:type="xsd:long"&gt;44172&lt;/D&gt;&lt;D xsi:type="xsd:long"&gt;44173&lt;/D&gt;&lt;D xsi:type="xsd:long"&gt;44174&lt;/D&gt;&lt;D xsi:type="xsd:long"&gt;44175&lt;/D&gt;&lt;D xsi:type="xsd:long"&gt;44176&lt;/D&gt;&lt;D xsi:type="xsd:long"&gt;44179&lt;/D&gt;&lt;D xsi:type="xsd:long"&gt;44180&lt;/D&gt;&lt;D xsi:type="xsd:long"&gt;44181&lt;/D&gt;&lt;D xsi:type="xsd:long"&gt;44182&lt;/D&gt;&lt;D xsi:type="xsd:long"&gt;44183&lt;/D&gt;&lt;D xsi:type="xsd:long"&gt;44186&lt;/D&gt;&lt;D xsi:type="xsd:long"&gt;44187&lt;/D&gt;&lt;D xsi:type="xsd:long"&gt;44188&lt;/D&gt;&lt;D xsi:type="xsd:long"&gt;44189&lt;/D&gt;&lt;D xsi:type="xsd:long"&gt;44190&lt;/D&gt;&lt;D xsi:type="xsd:long"&gt;44193&lt;/D&gt;&lt;D xsi:type="xsd:long"&gt;44194&lt;/D&gt;&lt;D xsi:type="xsd:long"&gt;44195&lt;/D&gt;&lt;D xsi:type="xsd:long"&gt;44196&lt;/D&gt;&lt;D xsi:type="xsd:long"&gt;44197&lt;/D&gt;&lt;D xsi:type="xsd:long"&gt;44200&lt;/D&gt;&lt;D xsi:type="xsd:long"&gt;44201&lt;/D&gt;&lt;D xsi:type="xsd:long"&gt;44202&lt;/D&gt;&lt;D xsi:type="xsd:long"&gt;44203&lt;/D&gt;&lt;D xsi:type="xsd:long"&gt;44204&lt;/D&gt;&lt;D xsi:type="xsd:long"&gt;44207&lt;/D&gt;&lt;D xsi:type="xsd:long"&gt;44208&lt;/D&gt;&lt;D xsi:type="xsd:long"&gt;44209&lt;/D&gt;&lt;D xsi:type="xsd:long"&gt;44210&lt;/D&gt;&lt;D xsi:type="xsd:long"&gt;44211&lt;/D&gt;&lt;D xsi:type="xsd:long"&gt;44214&lt;/D&gt;&lt;D xsi:type="xsd:long"&gt;44215&lt;/D&gt;&lt;D xsi:type="xsd:long"&gt;44216&lt;/D&gt;&lt;D xsi:type="xsd:long"&gt;44217&lt;/D&gt;&lt;D xsi:type="xsd:long"&gt;44218&lt;/D&gt;&lt;D xsi:type="xsd:long"&gt;44221&lt;/D&gt;&lt;D xsi:type="xsd:long"&gt;44222&lt;/D&gt;&lt;D xsi:type="xsd:long"&gt;44223&lt;/D&gt;&lt;D xsi:type="xsd:long"&gt;44224&lt;/D&gt;&lt;D xsi:type="xsd:long"&gt;44225&lt;/D&gt;&lt;D xsi:type="xsd:long"&gt;44228&lt;/D&gt;&lt;D xsi:type="xsd:long"&gt;44229&lt;/D&gt;&lt;D xsi:type="xsd:long"&gt;44230&lt;/D&gt;&lt;D xsi:type="xsd:long"&gt;44231&lt;/D&gt;&lt;D xsi:type="xsd:long"&gt;44232&lt;/D&gt;&lt;D xsi:type="xsd:long"&gt;44235&lt;/D&gt;&lt;D xsi:type="xsd:long"&gt;44236&lt;/D&gt;&lt;D xsi:type="xsd:long"&gt;44237&lt;/D&gt;&lt;D xsi:type="xsd:long"&gt;44238&lt;/D&gt;&lt;D xsi:type="xsd:long"&gt;44239&lt;/D&gt;&lt;D xsi:type="xsd:long"&gt;44242&lt;/D&gt;&lt;D xsi:type="xsd:long"&gt;44243&lt;/D&gt;&lt;D xsi:type="xsd:long"&gt;44244&lt;/D&gt;&lt;D xsi:type="xsd:long"&gt;44245&lt;/D&gt;&lt;D xsi:type="xsd:long"&gt;44246&lt;/D&gt;&lt;D xsi:type="xsd:long"&gt;44249&lt;/D&gt;&lt;D xsi:type="xsd:long"&gt;44250&lt;/D&gt;&lt;D xsi:type="xsd:long"&gt;44251&lt;/D&gt;&lt;D xsi:type="xsd:long"&gt;44252&lt;/D&gt;&lt;D xsi:type="xsd:long"&gt;44253&lt;/D&gt;&lt;D xsi:type="xsd:long"&gt;44256&lt;/D&gt;&lt;D xsi:type="xsd:long"&gt;44257&lt;/D&gt;&lt;D xsi:type="xsd:long"&gt;44258&lt;/D&gt;&lt;D xsi:type="xsd:long"&gt;44259&lt;/D&gt;&lt;D xsi:type="xsd:long"&gt;44260&lt;/D&gt;&lt;D xsi:type="xsd:long"&gt;44263&lt;/D&gt;&lt;D xsi:type="xsd:long"&gt;44264&lt;/D&gt;&lt;D xsi:type="xsd:long"&gt;44265&lt;/D&gt;&lt;D xsi:type="xsd:long"&gt;44266&lt;/D&gt;&lt;D xsi:type="xsd:long"&gt;44267&lt;/D&gt;&lt;D xsi:type="xsd:long"&gt;44270&lt;/D&gt;&lt;D xsi:type="xsd:long"&gt;44271&lt;/D&gt;&lt;D xsi:type="xsd:long"&gt;44272&lt;/D&gt;&lt;D xsi:type="xsd:long"&gt;44273&lt;/D&gt;&lt;D xsi:type="xsd:long"&gt;44274&lt;/D&gt;&lt;D xsi:type="xsd:long"&gt;44277&lt;/D&gt;&lt;D xsi:type="xsd:long"&gt;44278&lt;/D&gt;&lt;D xsi:type="xsd:long"&gt;44279&lt;/D&gt;&lt;D xsi:type="xsd:long"&gt;44280&lt;/D&gt;&lt;D xsi:type="xsd:long"&gt;44281&lt;/D&gt;&lt;D xsi:type="xsd:long"&gt;44284&lt;/D&gt;&lt;D xsi:type="xsd:long"&gt;44285&lt;/D&gt;&lt;D xsi:type="xsd:long"&gt;44286&lt;/D&gt;&lt;D xsi:type="xsd:long"&gt;44287&lt;/D&gt;&lt;D xsi:type="xsd:long"&gt;44288&lt;/D&gt;&lt;D xsi:type="xsd:long"&gt;44291&lt;/D&gt;&lt;D xsi:type="xsd:long"&gt;44292&lt;/D&gt;&lt;D xsi:type="xsd:long"&gt;44293&lt;/D&gt;&lt;D xsi:type="xsd:long"&gt;44294&lt;/D&gt;&lt;D xsi:type="xsd:long"&gt;44295&lt;/D&gt;&lt;D xsi:type="xsd:long"&gt;44298&lt;/D&gt;&lt;D xsi:type="xsd:long"&gt;44299&lt;/D&gt;&lt;D xsi:type="xsd:long"&gt;44300&lt;/D&gt;&lt;D xsi:type="xsd:long"&gt;44301&lt;/D&gt;&lt;D xsi:type="xsd:long"&gt;44302&lt;/D&gt;&lt;D xsi:type="xsd:long"&gt;44305&lt;/D&gt;&lt;D xsi:type="xsd:long"&gt;44306&lt;/D&gt;&lt;D xsi:type="xsd:long"&gt;44307&lt;/D&gt;&lt;D xsi:type="xsd:long"&gt;44308&lt;/D&gt;&lt;D xsi:type="xsd:long"&gt;44309&lt;/D&gt;&lt;D xsi:type="xsd:long"&gt;44312&lt;/D&gt;&lt;D xsi:type="xsd:long"&gt;44313&lt;/D&gt;&lt;D xsi:type="xsd:long"&gt;44314&lt;/D&gt;&lt;D xsi:type="xsd:long"&gt;44315&lt;/D&gt;&lt;D xsi:type="xsd:long"&gt;44316&lt;/D&gt;&lt;D xsi:type="xsd:long"&gt;44319&lt;/D&gt;&lt;D xsi:type="xsd:long"&gt;44320&lt;/D&gt;&lt;D xsi:type="xsd:long"&gt;44321&lt;/D&gt;&lt;D xsi:type="xsd:long"&gt;44322&lt;/D&gt;&lt;D xsi:type="xsd:long"&gt;44323&lt;/D&gt;&lt;D xsi:type="xsd:long"&gt;44326&lt;/D&gt;&lt;D xsi:type="xsd:long"&gt;44327&lt;/D&gt;&lt;D xsi:type="xsd:long"&gt;44328&lt;/D&gt;&lt;D xsi:type="xsd:long"&gt;44329&lt;/D&gt;&lt;D xsi:type="xsd:long"&gt;44330&lt;/D&gt;&lt;D xsi:type="xsd:long"&gt;44333&lt;/D&gt;&lt;D xsi:type="xsd:long"&gt;44334&lt;/D&gt;&lt;D xsi:type="xsd:long"&gt;44335&lt;/D&gt;&lt;D xsi:type="xsd:long"&gt;44336&lt;/D&gt;&lt;D xsi:type="xsd:long"&gt;44337&lt;/D&gt;&lt;D xsi:type="xsd:long"&gt;44340&lt;/D&gt;&lt;D xsi:type="xsd:long"&gt;44341&lt;/D&gt;&lt;D xsi:type="xsd:long"&gt;44342&lt;/D&gt;&lt;D xsi:type="xsd:long"&gt;44343&lt;/D&gt;&lt;D xsi:type="xsd:long"&gt;44344&lt;/D&gt;&lt;D xsi:type="xsd:long"&gt;44347&lt;/D&gt;&lt;D xsi:type="xsd:long"&gt;44348&lt;/D&gt;&lt;D xsi:type="xsd:long"&gt;44349&lt;/D&gt;&lt;D xsi:type="xsd:long"&gt;44350&lt;/D&gt;&lt;D xsi:type="xsd:long"&gt;44351&lt;/D&gt;&lt;D xsi:type="xsd:long"&gt;44354&lt;/D&gt;&lt;D xsi:type="xsd:long"&gt;44355&lt;/D&gt;&lt;D xsi:type="xsd:long"&gt;44356&lt;/D&gt;&lt;D xsi:type="xsd:long"&gt;44357&lt;/D&gt;&lt;D xsi:type="xsd:long"&gt;44358&lt;/D&gt;&lt;D xsi:type="xsd:long"&gt;44361&lt;/D&gt;&lt;D xsi:type="xsd:long"&gt;44362&lt;/D&gt;&lt;D xsi:type="xsd:long"&gt;44363&lt;/D&gt;&lt;D xsi:type="xsd:long"&gt;44364&lt;/D&gt;&lt;D xsi:type="xsd:long"&gt;44365&lt;/D&gt;&lt;D xsi:type="xsd:long"&gt;44368&lt;/D&gt;&lt;D xsi:type="xsd:long"&gt;44369&lt;/D&gt;&lt;D xsi:type="xsd:long"&gt;44370&lt;/D&gt;&lt;D xsi:type="xsd:long"&gt;44371&lt;/D&gt;&lt;D xsi:type="xsd:long"&gt;44372&lt;/D&gt;&lt;D xsi:type="xsd:long"&gt;44375&lt;/D&gt;&lt;D xsi:type="xsd:long"&gt;44376&lt;/D&gt;&lt;D xsi:type="xsd:long"&gt;44377&lt;/D&gt;&lt;D xsi:type="xsd:long"&gt;44378&lt;/D&gt;&lt;D xsi:type="xsd:long"&gt;44379&lt;/D&gt;&lt;D xsi:type="xsd:long"&gt;44382&lt;/D&gt;&lt;D xsi:type="xsd:long"&gt;44383&lt;/D&gt;&lt;D xsi:type="xsd:long"&gt;44384&lt;/D&gt;&lt;D xsi:type="xsd:long"&gt;44385&lt;/D&gt;&lt;D xsi:type="xsd:long"&gt;44386&lt;/D&gt;&lt;D xsi:type="xsd:long"&gt;44389&lt;/D&gt;&lt;D xsi:type="xsd:long"&gt;44390&lt;/D&gt;&lt;D xsi:type="xsd:long"&gt;44391&lt;/D&gt;&lt;D xsi:type="xsd:long"&gt;44392&lt;/D&gt;&lt;D xsi:type="xsd:long"&gt;44393&lt;/D&gt;&lt;D xsi:type="xsd:long"&gt;44396&lt;/D&gt;&lt;D xsi:type="xsd:long"&gt;44397&lt;/D&gt;&lt;D xsi:type="xsd:long"&gt;44398&lt;/D&gt;&lt;D xsi:type="xsd:long"&gt;44399&lt;/D&gt;&lt;D xsi:type="xsd:long"&gt;44400&lt;/D&gt;&lt;D xsi:type="xsd:long"&gt;44403&lt;/D&gt;&lt;D xsi:type="xsd:long"&gt;44404&lt;/D&gt;&lt;D xsi:type="xsd:long"&gt;44405&lt;/D&gt;&lt;D xsi:type="xsd:long"&gt;44406&lt;/D&gt;&lt;D xsi:type="xsd:long"&gt;44407&lt;/D&gt;&lt;D xsi:type="xsd:long"&gt;44410&lt;/D&gt;&lt;D xsi:type="xsd:long"&gt;44411&lt;/D&gt;&lt;D xsi:type="xsd:long"&gt;44412&lt;/D&gt;&lt;D xsi:type="xsd:long"&gt;44413&lt;/D&gt;&lt;D xsi:type="xsd:long"&gt;44414&lt;/D&gt;&lt;D xsi:type="xsd:long"&gt;44417&lt;/D&gt;&lt;D xsi:type="xsd:long"&gt;44418&lt;/D&gt;&lt;D xsi:type="xsd:long"&gt;44419&lt;/D&gt;&lt;D xsi:type="xsd:long"&gt;44420&lt;/D&gt;&lt;D xsi:type="xsd:long"&gt;44421&lt;/D&gt;&lt;D xsi:type="xsd:long"&gt;44424&lt;/D&gt;&lt;D xsi:type="xsd:long"&gt;44425&lt;/D&gt;&lt;D xsi:type="xsd:long"&gt;44426&lt;/D&gt;&lt;D xsi:type="xsd:long"&gt;44427&lt;/D&gt;&lt;D xsi:type="xsd:long"&gt;44428&lt;/D&gt;&lt;D xsi:type="xsd:long"&gt;44431&lt;/D&gt;&lt;D xsi:type="xsd:long"&gt;44432&lt;/D&gt;&lt;D xsi:type="xsd:long"&gt;44433&lt;/D&gt;&lt;D xsi:type="xsd:long"&gt;44434&lt;/D&gt;&lt;D xsi:type="xsd:long"&gt;44435&lt;/D&gt;&lt;D xsi:type="xsd:long"&gt;44438&lt;/D&gt;&lt;D xsi:type="xsd:long"&gt;44439&lt;/D&gt;&lt;/FQL&gt;&lt;FQL&gt;&lt;Q&gt;NOKRUB^FG_PRICE(-2AY,0,,USD)&lt;/Q&gt;&lt;R&gt;523&lt;/R&gt;&lt;C&gt;1&lt;/C&gt;&lt;D xsi:type="xsd:double"&gt;7.3148937&lt;/D&gt;&lt;D xsi:type="xsd:double"&gt;7.3209248&lt;/D&gt;&lt;D xsi:type="xsd:double"&gt;7.3488436&lt;/D&gt;&lt;D xsi:type="xsd:double"&gt;7.3180013&lt;/D&gt;&lt;D xsi:type="xsd:double"&gt;7.3320665&lt;/D&gt;&lt;D xsi:type="xsd:double"&gt;7.328398&lt;/D&gt;&lt;D xsi:type="xsd:double"&gt;7.3394475&lt;/D&gt;&lt;D xsi:type="xsd:double"&gt;7.3013797&lt;/D&gt;&lt;D xsi:type="xsd:double"&gt;7.2934666&lt;/D&gt;&lt;D xsi:type="xsd:double"&gt;7.227393&lt;/D&gt;&lt;D xsi:type="xsd:double"&gt;7.165052&lt;/D&gt;&lt;D xsi:type="xsd:double"&gt;7.1262984&lt;/D&gt;&lt;D xsi:type="xsd:double"&gt;7.1835394&lt;/D&gt;&lt;D xsi:type="xsd:double"&gt;7.187422&lt;/D&gt;&lt;D xsi:type="xsd:double"&gt;7.122525&lt;/D&gt;&lt;D xsi:type="xsd:double"&gt;7.0741177&lt;/D&gt;&lt;D xsi:type="xsd:double"&gt;7.0496635&lt;/D&gt;&lt;D xsi:type="xsd:double"&gt;7.0930834&lt;/D&gt;&lt;D xsi:type="xsd:double"&gt;7.1112375&lt;/D&gt;&lt;D xsi:type="xsd:double"&gt;7.096179&lt;/D&gt;&lt;D xsi:type="xsd:double"&gt;7.093663&lt;/D&gt;&lt;D xsi:type="xsd:double"&gt;7.14097&lt;/D&gt;&lt;D xsi:type="xsd:double"&gt;7.153574&lt;/D&gt;&lt;D xsi:type="xsd:double"&gt;7.129031&lt;/D&gt;&lt;D xsi:type="xsd:double"&gt;7.1606307&lt;/D&gt;&lt;D xsi:type="xsd:double"&gt;7.094912&lt;/D&gt;&lt;D xsi:type="xsd:double"&gt;7.1102953&lt;/D&gt;&lt;D xsi:type="xsd:double"&gt;7.1166563&lt;/D&gt;&lt;D xsi:type="xsd:double"&gt;7.0837564&lt;/D&gt;&lt;D xsi:type="xsd:double"&gt;7.0730705&lt;/D&gt;&lt;D xsi:type="xsd:double"&gt;7.064676&lt;/D&gt;&lt;D xsi:type="xsd:double"&gt;7.060006&lt;/D&gt;&lt;D xsi:type="xsd:double"&gt;7.033107&lt;/D&gt;&lt;D xsi:type="xsd:double"&gt;6.9832635&lt;/D&gt;&lt;D xsi:type="xsd:double"&gt;6.9718513&lt;/D&gt;&lt;D xsi:type="xsd:double"&gt;6.9773903&lt;/D&gt;&lt;D xsi:type="xsd:double"&gt;6.9873085&lt;/D&gt;&lt;D xsi:type="xsd:double"&gt;6.9551864&lt;/D&gt;&lt;D xsi:type="xsd:double"&gt;6.974987&lt;/D&gt;&lt;D xsi:type="xsd:double"&gt;7.0141826&lt;/D&gt;&lt;D xsi:type="xsd:double"&gt;6.940226&lt;/D&gt;&lt;D xsi:type="xsd:double"&gt;6.918307&lt;/D&gt;&lt;D xsi:type="xsd:double"&gt;6.917144&lt;/D&gt;&lt;D xsi:type="xsd:double"&gt;6.95092&lt;/D&gt;&lt;D xsi:type="xsd:double"&gt;6.978527&lt;/D&gt;&lt;D xsi:type="xsd:double"&gt;6.975545&lt;/D&gt;&lt;D xsi:type="xsd:double"&gt;6.945076&lt;/D&gt;&lt;D xsi:type="xsd:double"&gt;6.9151306&lt;/D&gt;&lt;D xsi:type="xsd:double"&gt;6.9791927&lt;/D&gt;&lt;D xsi:type="xsd:double"&gt;6.987551&lt;/D&gt;&lt;D xsi:type="xsd:double"&gt;6.9692183&lt;/D&gt;&lt;D xsi:type="xsd:double"&gt;6.986307&lt;/D&gt;&lt;D xsi:type="xsd:double"&gt;7.0099306&lt;/D&gt;&lt;D xsi:type="xsd:double"&gt;6.9976325&lt;/D&gt;&lt;D xsi:type="xsd:double"&gt;6.976387&lt;/D&gt;&lt;D xsi:type="xsd:double"&gt;7.0266104&lt;/D&gt;&lt;D xsi:type="xsd:double"&gt;7.003503&lt;/D&gt;&lt;D xsi:type="xsd:double"&gt;6.999529&lt;/D&gt;&lt;D xsi:type="xsd:double"&gt;6.9905376&lt;/D&gt;&lt;D xsi:type="xsd:double"&gt;6.9769325&lt;/D&gt;&lt;D xsi:type="xsd:double"&gt;6.965192&lt;/D&gt;&lt;D xsi:type="xsd:double"&gt;6.9664307&lt;/D&gt;&lt;D xsi:type="xsd:double"&gt;6.989932&lt;/D&gt;&lt;D xsi:type="xsd:double"&gt;6.981331&lt;/D&gt;&lt;D xsi:type="xsd:double"&gt;6.9837337&lt;/D&gt;&lt;D xsi:type="xsd:double"&gt;6.9785867&lt;/D&gt;&lt;D xsi:type="xsd:double"&gt;7.01328&lt;/D&gt;&lt;D xsi:type="xsd:double"&gt;6.9971747&lt;/D&gt;&lt;D xsi:type="xsd:double"&gt;6.974889&lt;/D&gt;&lt;D xsi:type="xsd:double"&gt;6.977813&lt;/D&gt;&lt;D xsi:type="xsd:double"&gt;6.9608645&lt;/D&gt;&lt;D xsi:type="xsd:double"&gt;6.963948&lt;/D&gt;&lt;D xsi:type="xsd:double"&gt;6.9315066&lt;/D&gt;&lt;D xsi:type="xsd:double"&gt;6.9430943&lt;/D&gt;&lt;D xsi:type="xsd:double"&gt;6.8943353&lt;/D&gt;&lt;D xsi:type="xsd:double"&gt;6.9519234&lt;/D&gt;&lt;D xsi:type="xsd:double"&gt;6.9273553&lt;/D&gt;&lt;D xsi:type="xsd:double"&gt;6.9213786&lt;/D&gt;&lt;D xsi:type="xsd:double"&gt;6.938761&lt;/D&gt;&lt;D xsi:type="xsd:double"&gt;6.9523225&lt;/D&gt;&lt;D xsi:type="xsd:double"&gt;6.95073&lt;/D&gt;&lt;D xsi:type="xsd:double"&gt;6.9556108&lt;/D&gt;&lt;D xsi:type="xsd:double"&gt;6.950869&lt;/D&gt;&lt;D xsi:type="xsd:double"&gt;6.950893&lt;/D&gt;&lt;D xsi:type="xsd:double"&gt;7.007465&lt;/D&gt;&lt;D xsi:type="xsd:double"&gt;7.039946&lt;/D&gt;&lt;D xsi:type="xsd:double"&gt;7.0608587&lt;/D&gt;&lt;D xsi:type="xsd:double"&gt;7.068298&lt;/D&gt;&lt;D xsi:type="xsd:double"&gt;7.0683107&lt;/D&gt;&lt;D xsi:type="xsd:double"&gt;7.03&lt;/D&gt;&lt;D xsi:type="xsd:double"&gt;7.0238996&lt;/D&gt;&lt;D xsi:type="xsd:double"&gt;7.018926&lt;/D&gt;&lt;D xsi:type="xsd:double"&gt;7.0027275&lt;/D&gt;&lt;D xsi:type="xsd:double"&gt;6.950329&lt;/D&gt;&lt;D xsi:type="xsd:double"&gt;6.9010696&lt;/D&gt;&lt;D xsi:type="xsd:double"&gt;6.8604116&lt;/D&gt;&lt;D xsi:type="xsd:double"&gt;6.8875413&lt;/D&gt;&lt;D xsi:type="xsd:double"&gt;6.921855&lt;/D&gt;&lt;D xsi:type="xsd:double"&gt;6.9497175&lt;/D&gt;&lt;D xsi:type="xsd:double"&gt;6.9417853&lt;/D&gt;&lt;D xsi:type="xsd:double"&gt;6.902378&lt;/D&gt;&lt;D xsi:type="xsd:double"&gt;6.898907&lt;/D&gt;&lt;D xsi:type="xsd:double"&gt;6.9014297&lt;/D&gt;&lt;D xsi:type="xsd:double"&gt;6.9043207&lt;/D&gt;&lt;D xsi:type="xsd:double"&gt;6.874774&lt;/D&gt;&lt;D xsi:type="xsd:double"&gt;6.853015&lt;/D&gt;&lt;D xsi:type="xsd:double"&gt;6.892445&lt;/D&gt;&lt;D xsi:type="xsd:double"&gt;6.828357&lt;/D&gt;&lt;D xsi:type="xsd:double"&gt;6.8325777&lt;/D&gt;&lt;D xsi:type="xsd:double"&gt;6.8845606&lt;/D&gt;&lt;D xsi:type="xsd:double"&gt;6.9334655&lt;/D&gt;&lt;D xsi:type="xsd:double"&gt;6.858354&lt;/D&gt;&lt;D xsi:type="xsd:double"&gt;6.8256826&lt;/D&gt;&lt;D xsi:type="xsd:double"&gt;6.8277164&lt;/D&gt;&lt;D xsi:type="xsd:double"&gt;6.8564873&lt;/D&gt;&lt;D xsi:type="xsd:double"&gt;6.899051&lt;/D&gt;&lt;D xsi:type="xsd:double"&gt;6.909268&lt;/D&gt;&lt;D xsi:type="xsd:double"&gt;6.8497815&lt;/D&gt;&lt;D xsi:type="xsd:double"&gt;6.855957&lt;/D&gt;&lt;D xsi:type="xsd:double"&gt;6.854834&lt;/D&gt;&lt;D xsi:type="xsd:double"&gt;6.8716583&lt;/D&gt;&lt;D xsi:type="xsd:double"&gt;6.8574457&lt;/D&gt;&lt;D xsi:type="xsd:double"&gt;6.8743186&lt;/D&gt;&lt;D xsi:type="xsd:double"&gt;6.8577&lt;/D&gt;&lt;D xsi:type="xsd:double"&gt;6.8872366&lt;/D&gt;&lt;D xsi:type="xsd:double"&gt;6.912108&lt;/D&gt;&lt;D xsi:type="xsd:double"&gt;7.015626&lt;/D&gt;&lt;D xsi:type="xsd:double"&gt;6.9750156&lt;/D&gt;&lt;D xsi:type="xsd:double"&gt;6.934697&lt;/D&gt;&lt;D xsi:type="xsd:double"&gt;7.0492363&lt;/D&gt;&lt;D xsi:type="xsd:double"&gt;7.094744&lt;/D&gt;&lt;D xsi:type="xsd:double"&gt;7.1436787&lt;/D&gt;&lt;D xsi:type="xsd:double"&gt;7.0988975&lt;/D&gt;&lt;D xsi:type="xsd:double"&gt;7.141063&lt;/D&gt;&lt;D xsi:type="xsd:double"&gt;7.217063&lt;/D&gt;&lt;D xsi:type="xsd:double"&gt;7.36859&lt;/D&gt;&lt;D xsi:type="xsd:double"&gt;7.819517&lt;/D&gt;&lt;D xsi:type="xsd:double"&gt;7.502513&lt;/D&gt;&lt;D xsi:type="xsd:double"&gt;7.510732&lt;/D&gt;&lt;D xsi:type="xsd:double"&gt;7.326621&lt;/D&gt;&lt;D xsi:type="xsd:double"&gt;7.292033&lt;/D&gt;&lt;D xsi:type="xsd:double"&gt;7.1942234&lt;/D&gt;&lt;D xsi:type="xsd:double"&gt;7.20969&lt;/D&gt;&lt;D xsi:type="xsd:double"&gt;7.2392883&lt;/D&gt;&lt;D xsi:type="xsd:double"&gt;7.0978065&lt;/D&gt;&lt;D xsi:type="xsd:double"&gt;6.8205748&lt;/D&gt;&lt;D xsi:type="xsd:double"&gt;7.1025715&lt;/D&gt;&lt;D xsi:type="xsd:double"&gt;7.119294&lt;/D&gt;&lt;D xsi:type="xsd:double"&gt;7.243533&lt;/D&gt;&lt;D xsi:type="xsd:double"&gt;7.4040008&lt;/D&gt;&lt;D xsi:type="xsd:double"&gt;7.535118&lt;/D&gt;&lt;D xsi:type="xsd:double"&gt;7.5246778&lt;/D&gt;&lt;D xsi:type="xsd:double"&gt;7.440601&lt;/D&gt;&lt;D xsi:type="xsd:double"&gt;7.584347&lt;/D&gt;&lt;D xsi:type="xsd:double"&gt;7.477687&lt;/D&gt;&lt;D xsi:type="xsd:double"&gt;7.3157907&lt;/D&gt;&lt;D xsi:type="xsd:double"&gt;7.2865505&lt;/D&gt;&lt;D xsi:type="xsd:double"&gt;7.3890057&lt;/D&gt;&lt;D xsi:type="xsd:double"&gt;7.351532&lt;/D&gt;&lt;D xsi:type="xsd:double"&gt;7.1939335&lt;/D&gt;&lt;D xsi:type="xsd:double"&gt;7.1939397&lt;/D&gt;&lt;D xsi:type="xsd:double"&gt;7.1677384&lt;/D&gt;&lt;D xsi:type="xsd:double"&gt;7.05154&lt;/D&gt;&lt;D xsi:type="xsd:double"&gt;7.142885&lt;/D&gt;&lt;D xsi:type="xsd:double"&gt;7.088569&lt;/D&gt;&lt;D xsi:type="xsd:double"&gt;7.157274&lt;/D&gt;&lt;D xsi:type="xsd:double"&gt;7.1774035&lt;/D&gt;&lt;D xsi:type="xsd:double"&gt;7.31268&lt;/D&gt;&lt;D xsi:type="xsd:double"&gt;7.0591183&lt;/D&gt;&lt;D xsi:type="xsd:double"&gt;7.0473413&lt;/D&gt;&lt;D xsi:type="xsd:double"&gt;6.9892597&lt;/D&gt;&lt;D xsi:type="xsd:double"&gt;7.053381&lt;/D&gt;&lt;D xsi:type="xsd:double"&gt;7.1411405&lt;/D&gt;&lt;D xsi:type="xsd:double"&gt;7.0775323&lt;/D&gt;&lt;D xsi:type="xsd:double"&gt;7.2360086&lt;/D&gt;&lt;D xsi:type="xsd:double"&gt;7.334524&lt;/D&gt;&lt;D xsi:type="xsd:double"&gt;7.2585506&lt;/D&gt;&lt;D xsi:type="xsd:double"&gt;7.199184&lt;/D&gt;&lt;D xsi:type="xsd:double"&gt;7.244882&lt;/D&gt;&lt;D xsi:type="xsd:double"&gt;7.202979&lt;/D&gt;&lt;D xsi:type="xsd:double"&gt;7.1890836&lt;/D&gt;&lt;D xsi:type="xsd:double"&gt;7.174778&lt;/D&gt;&lt;D xsi:type="xsd:double"&gt;7.2037745&lt;/D&gt;&lt;D xsi:type="xsd:double"&gt;7.2752576&lt;/D&gt;&lt;D xsi:type="xsd:double"&gt;7.228838&lt;/D&gt;&lt;D xsi:type="xsd:double"&gt;7.1887712&lt;/D&gt;&lt;D xsi:type="xsd:double"&gt;7.2034764&lt;/D&gt;&lt;D xsi:type="xsd:double"&gt;7.271219&lt;/D&gt;&lt;D xsi:type="xsd:double"&gt;7.1913447&lt;/D&gt;&lt;D xsi:type="xsd:double"&gt;7.1180553&lt;/D&gt;&lt;D xsi:type="xsd:double"&gt;7.1691227&lt;/D&gt;&lt;D xsi:type="xsd:double"&gt;7.1262417&lt;/D&gt;&lt;D xsi:type="xsd:double"&gt;7.149815&lt;/D&gt;&lt;D xsi:type="xsd:double"&gt;7.181299&lt;/D&gt;&lt;D xsi:type="xsd:double"&gt;7.214513&lt;/D&gt;&lt;D xsi:type="xsd:double"&gt;7.267506&lt;/D&gt;&lt;D xsi:type="xsd:double"&gt;7.211279&lt;/D&gt;&lt;D xsi:type="xsd:double"&gt;7.2169275&lt;/D&gt;&lt;D xsi:type="xsd:double"&gt;7.2433395&lt;/D&gt;&lt;D xsi:type="xsd:double"&gt;7.4194593&lt;/D&gt;&lt;D xsi:type="xsd:double"&gt;7.3591003&lt;/D&gt;&lt;D xsi:type="xsd:double"&gt;7.3813677&lt;/D&gt;&lt;D xsi:type="xsd:double"&gt;7.3960705&lt;/D&gt;&lt;D xsi:type="xsd:double"&gt;7.3518553&lt;/D&gt;&lt;D xsi:type="xsd:double"&gt;7.3121758&lt;/D&gt;&lt;D xsi:type="xsd:double"&gt;7.219834&lt;/D&gt;&lt;D xsi:type="xsd:double"&gt;7.3113894&lt;/D&gt;&lt;D xsi:type="xsd:double"&gt;7.2709513&lt;/D&gt;&lt;D xsi:type="xsd:double"&gt;7.3117795&lt;/D&gt;&lt;D xsi:type="xsd:double"&gt;7.3165827&lt;/D&gt;&lt;D xsi:type="xsd:double"&gt;7.230188&lt;/D&gt;&lt;D xsi:type="xsd:double"&gt;7.2012615&lt;/D&gt;&lt;D xsi:type="xsd:double"&gt;7.2514954&lt;/D&gt;&lt;D xsi:type="xsd:double"&gt;7.2178187&lt;/D&gt;&lt;D xsi:type="xsd:double"&gt;7.134804&lt;/D&gt;&lt;D xsi:type="xsd:double"&gt;7.1658792&lt;/D&gt;&lt;D xsi:type="xsd:double"&gt;7.2360415&lt;/D&gt;&lt;D xsi:type="xsd:double"&gt;7.386172&lt;/D&gt;&lt;D xsi:type="xsd:double"&gt;7.419832&lt;/D&gt;&lt;D xsi:type="xsd:double"&gt;7.3820615&lt;/D&gt;&lt;D xsi:type="xsd:double"&gt;7.5410013&lt;/D&gt;&lt;D xsi:type="xsd:double"&gt;7.619169&lt;/D&gt;&lt;D xsi:type="xsd:double"&gt;7.545011&lt;/D&gt;&lt;D xsi:type="xsd:double"&gt;7.581384&lt;/D&gt;&lt;D xsi:type="xsd:double"&gt;7.5200515&lt;/D&gt;&lt;D xsi:type="xsd:double"&gt;7.5095863&lt;/D&gt;&lt;D xsi:type="xsd:double"&gt;7.53224&lt;/D&gt;&lt;D xsi:type="xsd:double"&gt;7.5700445&lt;/D&gt;&lt;D xsi:type="xsd:double"&gt;7.6271935&lt;/D&gt;&lt;D xsi:type="xsd:double"&gt;7.683731&lt;/D&gt;&lt;D xsi:type="xsd:double"&gt;7.7474775&lt;/D&gt;&lt;D xsi:type="xsd:double"&gt;7.7215667&lt;/D&gt;&lt;D xsi:type="xsd:double"&gt;7.737887&lt;/D&gt;&lt;D xsi:type="xsd:double"&gt;7.788558&lt;/D&gt;&lt;D xsi:type="xsd:double"&gt;7.786449&lt;/D&gt;&lt;D xsi:type="xsd:double"&gt;7.8105516&lt;/D&gt;&lt;D xsi:type="xsd:double"&gt;7.8867135&lt;/D&gt;&lt;D xsi:type="xsd:double"&gt;7.970107&lt;/D&gt;&lt;D xsi:type="xsd:double"&gt;8.005513&lt;/D&gt;&lt;D xsi:type="xsd:double"&gt;8.050424&lt;/D&gt;&lt;D xsi:type="xsd:double"&gt;8.174218&lt;/D&gt;&lt;D xsi:type="xsd:double"&gt;8.035187&lt;/D&gt;&lt;D xsi:type="xsd:double"&gt;8.083265&lt;/D&gt;&lt;D xsi:type="xsd:double"&gt;8.1375065&lt;/D&gt;&lt;D xsi:type="xsd:double"&gt;8.168012&lt;/D&gt;&lt;D xsi:type="xsd:double"&gt;8.147885&lt;/D&gt;&lt;D xsi:type="xsd:double"&gt;8.152421&lt;/D&gt;&lt;D xsi:type="xsd:double"&gt;8.121633&lt;/D&gt;&lt;D xsi:type="xsd:double"&gt;8.252317&lt;/D&gt;&lt;D xsi:type="xsd:double"&gt;8.241517&lt;/D&gt;&lt;D xsi:type="xsd:double"&gt;8.191258&lt;/D&gt;&lt;D xsi:type="xsd:double"&gt;8.292074&lt;/D&gt;&lt;D xsi:type="xsd:double"&gt;8.272156&lt;/D&gt;&lt;D xsi:type="xsd:double"&gt;8.258643&lt;/D&gt;&lt;D xsi:type="xsd:double"&gt;8.262597&lt;/D&gt;&lt;D xsi:type="xsd:double"&gt;8.2618265&lt;/D&gt;&lt;D xsi:type="xsd:double"&gt;8.291951&lt;/D&gt;&lt;D xsi:type="xsd:double"&gt;8.360611&lt;/D&gt;&lt;D xsi:type="xsd:double"&gt;8.4715805&lt;/D&gt;&lt;D xsi:type="xsd:double"&gt;8.410157&lt;/D&gt;&lt;D xsi:type="xsd:double"&gt;8.431531&lt;/D&gt;&lt;D xsi:type="xsd:double"&gt;8.535451&lt;/D&gt;&lt;D xsi:type="xsd:double"&gt;8.402459&lt;/D&gt;&lt;D xsi:type="xsd:double"&gt;8.568531&lt;/D&gt;&lt;D xsi:type="xsd:double"&gt;8.433023&lt;/D&gt;&lt;D xsi:type="xsd:double"&gt;8.411799&lt;/D&gt;&lt;D xsi:type="xsd:double"&gt;8.500799&lt;/D&gt;&lt;D xsi:type="xsd:double"&gt;8.416592&lt;/D&gt;&lt;D xsi:type="xsd:double"&gt;8.356097&lt;/D&gt;&lt;D xsi:type="xsd:double"&gt;8.331206&lt;/D&gt;&lt;D xsi:type="xsd:double"&gt;8.286172&lt;/D&gt;&lt;D xsi:type="xsd:double"&gt;8.347068&lt;/D&gt;&lt;D xsi:type="xsd:double"&gt;8.296663&lt;/D&gt;&lt;D xsi:type="xsd:double"&gt;8.312983&lt;/D&gt;&lt;D xsi:type="xsd:double"&gt;8.279951&lt;/D&gt;&lt;D xsi:type="xsd:double"&gt;8.323988&lt;/D&gt;&lt;D xsi:type="xsd:double"&gt;8.191194&lt;/D&gt;&lt;D xsi:type="xsd:double"&gt;8.147048&lt;/D&gt;&lt;D xsi:type="xsd:double"&gt;8.14718&lt;/D&gt;&lt;D xsi:type="xsd:double"&gt;8.0690775&lt;/D&gt;&lt;D xsi:type="xsd:double"&gt;8.171592&lt;/D&gt;&lt;D xsi:type="xsd:double"&gt;8.327153&lt;/D&gt;&lt;D xsi:type="xsd:double"&gt;8.401548&lt;/D&gt;&lt;D xsi:type="xsd:double"&gt;8.293745&lt;/D&gt;&lt;D xsi:type="xsd:double"&gt;8.318169&lt;/D&gt;&lt;D xsi:type="xsd:double"&gt;8.439773&lt;/D&gt;&lt;D xsi:type="xsd:double"&gt;8.504737&lt;/D&gt;&lt;D xsi:type="xsd:double"&gt;8.416934&lt;/D&gt;&lt;D xsi:type="xsd:double"&gt;8.400498&lt;/D&gt;&lt;D xsi:type="xsd:double"&gt;8.347827&lt;/D&gt;&lt;D xsi:type="xsd:double"&gt;8.377609&lt;/D&gt;&lt;D xsi:type="xsd:double"&gt;8.432384&lt;/D&gt;&lt;D xsi:type="xsd:double"&gt;8.373675&lt;/D&gt;&lt;D xsi:type="xsd:double"&gt;8.424602&lt;/D&gt;&lt;D xsi:type="xsd:double"&gt;8.336794&lt;/D&gt;&lt;D xsi:type="xsd:double"&gt;8.327811&lt;/D&gt;&lt;D xsi:type="xsd:double"&gt;8.337349&lt;/D&gt;&lt;D xsi:type="xsd:double"&gt;8.37526&lt;/D&gt;&lt;D xsi:type="xsd:double"&gt;8.337816&lt;/D&gt;&lt;D xsi:type="xsd:double"&gt;8.304301&lt;/D&gt;&lt;D xsi:type="xsd:double"&gt;8.231668&lt;/D&gt;&lt;D xsi:type="xsd:double"&gt;8.238793&lt;/D&gt;&lt;D xsi:type="xsd:double"&gt;8.426221&lt;/D&gt;&lt;D xsi:type="xsd:double"&gt;8.424107&lt;/D&gt;&lt;D xsi:type="xsd:double"&gt;8.253757&lt;/D&gt;&lt;D xsi:type="xsd:double"&gt;8.315593&lt;/D&gt;&lt;D xsi:type="xsd:double"&gt;8.431603&lt;/D&gt;&lt;D xsi:type="xsd:double"&gt;8.470645&lt;/D&gt;&lt;D xsi:type="xsd:double"&gt;8.38295&lt;/D&gt;&lt;D xsi:type="xsd:double"&gt;8.39711&lt;/D&gt;&lt;D xsi:type="xsd:double"&gt;8.43756&lt;/D&gt;&lt;D xsi:type="xsd:double"&gt;8.423413&lt;/D&gt;&lt;D xsi:type="xsd:double"&gt;8.465616&lt;/D&gt;&lt;D xsi:type="xsd:double"&gt;8.480911&lt;/D&gt;&lt;D xsi:type="xsd:double"&gt;8.451888&lt;/D&gt;&lt;D xsi:type="xsd:double"&gt;8.470022&lt;/D&gt;&lt;D xsi:type="xsd:double"&gt;8.43589&lt;/D&gt;&lt;D xsi:type="xsd:double"&gt;8.417617&lt;/D&gt;&lt;D xsi:type="xsd:double"&gt;8.4333&lt;/D&gt;&lt;D xsi:type="xsd:double"&gt;8.446824&lt;/D&gt;&lt;D xsi:type="xsd:double"&gt;8.455097&lt;/D&gt;&lt;D xsi:type="xsd:double"&gt;8.448329&lt;/D&gt;&lt;D xsi:type="xsd:double"&gt;8.473862&lt;/D&gt;&lt;D xsi:type="xsd:double"&gt;8.575122&lt;/D&gt;&lt;D xsi:type="xsd:double"&gt;8.521834&lt;/D&gt;&lt;D xsi:type="xsd:double"&gt;8.619312&lt;/D&gt;&lt;D xsi:type="xsd:double"&gt;8.637062&lt;/D&gt;&lt;D xsi:type="xsd:double"&gt;8.556634&lt;/D&gt;&lt;D xsi:type="xsd:double"&gt;8.519003&lt;/D&gt;&lt;D xsi:type="xsd:double"&gt;8.502393&lt;/D&gt;&lt;D xsi:type="xsd:double"&gt;8.411437&lt;/D&gt;&lt;D xsi:type="xsd:double"&gt;8.418286&lt;/D&gt;&lt;D xsi:type="xsd:double"&gt;8.361689&lt;/D&gt;&lt;D xsi:type="xsd:double"&gt;8.366871&lt;/D&gt;&lt;D xsi:type="xsd:double"&gt;8.340043&lt;/D&gt;&lt;D xsi:type="xsd:double"&gt;8.2787485&lt;/D&gt;&lt;D xsi:type="xsd:double"&gt;8.396339&lt;/D&gt;&lt;D xsi:type="xsd:double"&gt;8.425294&lt;/D&gt;&lt;D xsi:type="xsd:double"&gt;8.459527&lt;/D&gt;&lt;D xsi:type="xsd:double"&gt;8.494072&lt;/D&gt;&lt;D xsi:type="xsd:double"&gt;8.537439&lt;/D&gt;&lt;D xsi:type="xsd:double"&gt;8.663511&lt;/D&gt;&lt;D xsi:type="xsd:double"&gt;8.636877&lt;/D&gt;&lt;D xsi:type="xsd:double"&gt;8.662733&lt;/D&gt;&lt;D xsi:type="xsd:double"&gt;8.575021&lt;/D&gt;&lt;D xsi:type="xsd:double"&gt;8.575028&lt;/D&gt;&lt;D xsi:type="xsd:double"&gt;8.517723&lt;/D&gt;&lt;D xsi:type="xsd:double"&gt;8.567046&lt;/D&gt;&lt;D xsi:type="xsd:double"&gt;8.7111845&lt;/D&gt;&lt;D xsi:type="xsd:double"&gt;8.638734&lt;/D&gt;&lt;D xsi:type="xsd:double"&gt;8.638702&lt;/D&gt;&lt;D xsi:type="xsd:double"&gt;8.67866&lt;/D&gt;&lt;D xsi:type="xsd:double"&gt;8.705967&lt;/D&gt;&lt;D xsi:type="xsd:double"&gt;8.754842&lt;/D&gt;&lt;D xsi:type="xsd:double"&gt;8.822249&lt;/D&gt;&lt;D xsi:type="xsd:double"&gt;8.814028&lt;/D&gt;&lt;D xsi:type="xsd:double"&gt;8.734887&lt;/D&gt;&lt;D xsi:type="xsd:double"&gt;8.630927&lt;/D&gt;&lt;D xsi:type="xsd:double"&gt;8.668523&lt;/D&gt;&lt;D xsi:type="xsd:double"&gt;8.638768&lt;/D&gt;&lt;D xsi:type="xsd:double"&gt;8.61263&lt;/D&gt;&lt;D xsi:type="xsd:double"&gt;8.6063595&lt;/D&gt;&lt;D xsi:type="xsd:double"&gt;8.635206&lt;/D&gt;&lt;D xsi:type="xsd:double"&gt;8.634423&lt;/D&gt;&lt;D xsi:type="xsd:double"&gt;8.772941&lt;/D&gt;&lt;D xsi:type="xsd:double"&gt;8.8410225&lt;/D&gt;&lt;D xsi:type="xsd:double"&gt;8.833171&lt;/D&gt;&lt;D xsi:type="xsd:double"&gt;8.806189&lt;/D&gt;&lt;D xsi:type="xsd:double"&gt;8.760999&lt;/D&gt;&lt;D xsi:type="xsd:double"&gt;8.824502&lt;/D&gt;&lt;D xsi:type="xsd:double"&gt;8.821594&lt;/D&gt;&lt;D xsi:type="xsd:double"&gt;8.844744&lt;/D&gt;&lt;D xsi:type="xsd:double"&gt;8.770541&lt;/D&gt;&lt;D xsi:type="xsd:double"&gt;8.838531&lt;/D&gt;&lt;D xsi:type="xsd:double"&gt;8.758048&lt;/D&gt;&lt;D xsi:type="xsd:double"&gt;8.732426&lt;/D&gt;&lt;D xsi:type="xsd:double"&gt;8.732926&lt;/D&gt;&lt;D xsi:type="xsd:double"&gt;8.734254&lt;/D&gt;&lt;D xsi:type="xsd:double"&gt;8.7525625&lt;/D&gt;&lt;D xsi:type="xsd:double"&gt;8.702928&lt;/D&gt;&lt;D xsi:type="xsd:double"&gt;8.721561&lt;/D&gt;&lt;D xsi:type="xsd:double"&gt;8.740859&lt;/D&gt;&lt;D xsi:type="xsd:double"&gt;8.744785&lt;/D&gt;&lt;D xsi:type="xsd:double"&gt;8.683261&lt;/D&gt;&lt;D xsi:type="xsd:double"&gt;8.722976&lt;/D&gt;&lt;D xsi:type="xsd:double"&gt;8.764399&lt;/D&gt;&lt;D xsi:type="xsd:double"&gt;8.75652&lt;/D&gt;&lt;D xsi:type="xsd:double"&gt;8.702804&lt;/D&gt;&lt;D xsi:type="xsd:double"&gt;8.741453&lt;/D&gt;&lt;D xsi:type="xsd:double"&gt;8.82769&lt;/D&gt;&lt;D xsi:type="xsd:double"&gt;8.655073&lt;/D&gt;&lt;D xsi:type="xsd:double"&gt;8.652593&lt;/D&gt;&lt;D xsi:type="xsd:double"&gt;8.6887455&lt;/D&gt;&lt;D xsi:type="xsd:double"&gt;8.71607&lt;/D&gt;&lt;D xsi:type="xsd:double"&gt;8.682412&lt;/D&gt;&lt;D xsi:type="xsd:double"&gt;8.677787&lt;/D&gt;&lt;D xsi:type="xsd:double"&gt;8.73839&lt;/D&gt;&lt;D xsi:type="xsd:double"&gt;8.7138605&lt;/D&gt;&lt;D xsi:type="xsd:double"&gt;8.711862&lt;/D&gt;&lt;D xsi:type="xsd:double"&gt;8.701117&lt;/D&gt;&lt;D xsi:type="xsd:double"&gt;8.685278&lt;/D&gt;&lt;D xsi:type="xsd:double"&gt;8.601589&lt;/D&gt;&lt;D xsi:type="xsd:double"&gt;8.57815&lt;/D&gt;&lt;D xsi:type="xsd:double"&gt;8.713201&lt;/D&gt;&lt;D xsi:type="xsd:double"&gt;8.773175&lt;/D&gt;&lt;D xsi:type="xsd:double"&gt;8.6901&lt;/D&gt;&lt;D xsi:type="xsd:double"&gt;8.845477&lt;/D&gt;&lt;D xsi:type="xsd:double"&gt;8.888282&lt;/D&gt;&lt;D xsi:type="xsd:double"&gt;8.927928&lt;/D&gt;&lt;D xsi:type="xsd:double"&gt;8.82695&lt;/D&gt;&lt;D xsi:type="xsd:double"&gt;8.8367815&lt;/D&gt;&lt;D xsi:type="xsd:double"&gt;8.863224&lt;/D&gt;&lt;D xsi:type="xsd:double"&gt;8.898405&lt;/D&gt;&lt;D xsi:type="xsd:double"&gt;8.846726&lt;/D&gt;&lt;D xsi:type="xsd:double"&gt;8.950633&lt;/D&gt;&lt;D xsi:type="xsd:double"&gt;8.950623&lt;/D&gt;&lt;D xsi:type="xsd:double"&gt;8.962567&lt;/D&gt;&lt;D xsi:type="xsd:double"&gt;9.083844&lt;/D&gt;&lt;D xsi:type="xsd:double"&gt;9.133314&lt;/D&gt;&lt;D xsi:type="xsd:double"&gt;9.036273&lt;/D&gt;&lt;D xsi:type="xsd:double"&gt;9.087973&lt;/D&gt;&lt;D xsi:type="xsd:double"&gt;9.120348&lt;/D&gt;&lt;D xsi:type="xsd:double"&gt;9.0590105&lt;/D&gt;&lt;D xsi:type="xsd:double"&gt;9.003998&lt;/D&gt;&lt;D xsi:type="xsd:double"&gt;9.079654&lt;/D&gt;&lt;D xsi:type="xsd:double"&gt;9.043589&lt;/D&gt;&lt;D xsi:type="xsd:double"&gt;9.167028&lt;/D&gt;&lt;D xsi:type="xsd:double"&gt;9.216982&lt;/D&gt;&lt;D xsi:type="xsd:double"&gt;9.176252&lt;/D&gt;&lt;D xsi:type="xsd:double"&gt;9.066878&lt;/D&gt;&lt;D xsi:type="xsd:double"&gt;9.004503&lt;/D&gt;&lt;D xsi:type="xsd:double"&gt;9.02729&lt;/D&gt;&lt;D xsi:type="xsd:double"&gt;9.032072&lt;/D&gt;&lt;D xsi:type="xsd:double"&gt;9.083658&lt;/D&gt;&lt;D xsi:type="xsd:double"&gt;9.0722065&lt;/D&gt;&lt;D xsi:type="xsd:double"&gt;9.036404&lt;/D&gt;&lt;D xsi:type="xsd:double"&gt;9.034779&lt;/D&gt;&lt;D xsi:type="xsd:double"&gt;8.998145&lt;/D&gt;&lt;D xsi:type="xsd:double"&gt;8.949548&lt;/D&gt;&lt;D xsi:type="xsd:double"&gt;8.933886&lt;/D&gt;&lt;D xsi:type="xsd:double"&gt;8.967612&lt;/D&gt;&lt;D xsi:type="xsd:double"&gt;8.998666&lt;/D&gt;&lt;D xsi:type="xsd:double"&gt;8.967075&lt;/D&gt;&lt;D xsi:type="xsd:double"&gt;8.947237&lt;/D&gt;&lt;D xsi:type="xsd:double"&gt;8.836945&lt;/D&gt;&lt;D xsi:type="xsd:double"&gt;8.977074&lt;/D&gt;&lt;D xsi:type="xsd:double"&gt;8.936459&lt;/D&gt;&lt;D xsi:type="xsd:double"&gt;8.986329&lt;/D&gt;&lt;D xsi:type="xsd:double"&gt;8.882764&lt;/D&gt;&lt;D xsi:type="xsd:double"&gt;8.858406&lt;/D&gt;&lt;D xsi:type="xsd:double"&gt;8.757871&lt;/D&gt;&lt;D xsi:type="xsd:double"&gt;8.806085&lt;/D&gt;&lt;D xsi:type="xsd:double"&gt;8.843274&lt;/D&gt;&lt;D xsi:type="xsd:double"&gt;8.818569&lt;/D&gt;&lt;D xsi:type="xsd:double"&gt;8.798609&lt;/D&gt;&lt;D xsi:type="xsd:double"&gt;8.767219&lt;/D&gt;&lt;D xsi:type="xsd:double"&gt;8.81788&lt;/D&gt;&lt;D xsi:type="xsd:double"&gt;8.862431&lt;/D&gt;&lt;D xsi:type="xsd:double"&gt;8.814823&lt;/D&gt;&lt;D xsi:type="xsd:double"&gt;8.732836&lt;/D&gt;&lt;D xsi:type="xsd:double"&gt;8.76687&lt;/D&gt;&lt;D xsi:type="xsd:double"&gt;8.804839&lt;/D&gt;&lt;D xsi:type="xsd:double"&gt;8.7715845&lt;/D&gt;&lt;D xsi:type="xsd:double"&gt;8.7215605&lt;/D&gt;&lt;D xsi:type="xsd:double"&gt;8.669046&lt;/D&gt;&lt;D xsi:type="xsd:double"&gt;8.627365&lt;/D&gt;&lt;D xsi:type="xsd:double"&gt;8.675417&lt;/D&gt;&lt;D xsi:type="xsd:double"&gt;8.668235&lt;/D&gt;&lt;D xsi:type="xsd:double"&gt;8.576153&lt;/D&gt;&lt;D xsi:type="xsd:double"&gt;8.489137&lt;/D&gt;&lt;D xsi:type="xsd:double"&gt;8.342199&lt;/D&gt;&lt;D xsi:type="xsd:double"&gt;8.496035&lt;/D&gt;&lt;D xsi:type="xsd:double"&gt;8.509695&lt;/D&gt;&lt;D xsi:type="xsd:double"&gt;8.532533&lt;/D&gt;&lt;D xsi:type="xsd:double"&gt;8.486473&lt;/D&gt;&lt;D xsi:type="xsd:double"&gt;8.521936&lt;/D&gt;&lt;D xsi:type="xsd:double"&gt;8.462785&lt;/D&gt;&lt;D xsi:type="xsd:double"&gt;8.496975&lt;/D&gt;&lt;D xsi:type="xsd:double"&gt;8.489489&lt;/D&gt;&lt;D xsi:type="xsd:double"&gt;8.509319&lt;/D&gt;&lt;D xsi:type="xsd:double"&gt;8.512211&lt;/D&gt;&lt;D xsi:type="xsd:double"&gt;8.576906&lt;/D&gt;&lt;D xsi:type="xsd:double"&gt;8.567969&lt;/D&gt;&lt;D xsi:type="xsd:double"&gt;8.563577&lt;/D&gt;&lt;D xsi:type="xsd:double"&gt;8.515024&lt;/D&gt;&lt;D xsi:type="xsd:double"&gt;8.544006&lt;/D&gt;&lt;D xsi:type="xsd:double"&gt;8.572062&lt;/D&gt;&lt;D xsi:type="xsd:double"&gt;8.479538&lt;/D&gt;&lt;D xsi:type="xsd:double"&gt;8.485425&lt;/D&gt;&lt;D xsi:type="xsd:double"&gt;8.428514&lt;/D&gt;&lt;D xsi:type="xsd:double"&gt;8.389215&lt;/D&gt;&lt;D xsi:type="xsd:double"&gt;8.341627&lt;/D&gt;&lt;D xsi:type="xsd:double"&gt;8.2404585&lt;/D&gt;&lt;D xsi:type="xsd:double"&gt;8.308227&lt;/D&gt;&lt;D xsi:type="xsd:double"&gt;8.365621&lt;/D&gt;&lt;D xsi:type="xsd:double"&gt;8.293718&lt;/D&gt;&lt;D xsi:type="xsd:double"&gt;8.361405&lt;/D&gt;&lt;D xsi:type="xsd:double"&gt;8.308986&lt;/D&gt;&lt;D xsi:type="xsd:double"&gt;8.331215&lt;/D&gt;&lt;D xsi:type="xsd:double"&gt;8.3702135&lt;/D&gt;&lt;D xsi:type="xsd:double"&gt;8.279501&lt;/D&gt;&lt;D xsi:type="xsd:double"&gt;8.289181&lt;/D&gt;&lt;D xsi:type="xsd:double"&gt;8.279938&lt;/D&gt;&lt;D xsi:type="xsd:double"&gt;8.27472&lt;/D&gt;&lt;D xsi:type="xsd:double"&gt;8.298989&lt;/D&gt;&lt;D xsi:type="xsd:double"&gt;8.270002&lt;/D&gt;&lt;D xsi:type="xsd:double"&gt;8.228488&lt;/D&gt;&lt;D xsi:type="xsd:double"&gt;8.284111&lt;/D&gt;&lt;D xsi:type="xsd:double"&gt;8.318587&lt;/D&gt;&lt;D xsi:type="xsd:double"&gt;8.313188&lt;/D&gt;&lt;D xsi:type="xsd:double"&gt;8.325565&lt;/D&gt;&lt;D xsi:type="xsd:double"&gt;8.299196&lt;/D&gt;&lt;D xsi:type="xsd:double"&gt;8.275282&lt;/D&gt;&lt;D xsi:type="xsd:double"&gt;8.283383&lt;/D&gt;&lt;D xsi:type="xsd:double"&gt;8.224842&lt;/D&gt;&lt;D xsi:type="xsd:double"&gt;8.231271&lt;/D&gt;&lt;D xsi:type="xsd:double"&gt;8.318697&lt;/D&gt;&lt;D xsi:type="xsd:double"&gt;8.355712&lt;/D&gt;&lt;D xsi:type="xsd:double"&gt;8.379043&lt;/D&gt;&lt;D xsi:type="xsd:double"&gt;8.420293&lt;/D&gt;&lt;D xsi:type="xsd:double"&gt;8.43101&lt;/D&gt;&lt;D xsi:type="xsd:double"&gt;8.505098&lt;/D&gt;&lt;D xsi:type="xsd:double"&gt;8.413792&lt;/D&gt;&lt;/FQL&gt;&lt;FQL&gt;&lt;Q&gt;MOWI-NO^JULIAN(FG_PRICE(0,0,,USD).DATES)&lt;/Q&gt;&lt;R&gt;1&lt;/R&gt;&lt;C&gt;1&lt;/C&gt;&lt;D xsi:type="xsd:long"&gt;44439&lt;/D&gt;&lt;/FQL&gt;&lt;FQL&gt;&lt;Q&gt;MOWI-NO^FG_PRICE(0,0,,USD)&lt;/Q&gt;&lt;R&gt;1&lt;/R&gt;&lt;C&gt;1&lt;/C&gt;&lt;D xsi:type="xsd:double"&gt;26.753662&lt;/D&gt;&lt;/FQL&gt;&lt;FQL&gt;&lt;Q&gt;BAKKA-NO^FG_PRICE(0,0,,USD)&lt;/Q&gt;&lt;R&gt;1&lt;/R&gt;&lt;C&gt;1&lt;/C&gt;&lt;D xsi:type="xsd:double"&gt;87.7851&lt;/D&gt;&lt;/FQL&gt;&lt;FQL&gt;&lt;Q&gt;SALM-NO^FG_PRICE(0,0,,USD)&lt;/Q&gt;&lt;R&gt;1&lt;/R&gt;&lt;C&gt;1&lt;/C&gt;&lt;D xsi:type="xsd:double"&gt;66.947334&lt;/D&gt;&lt;/FQL&gt;&lt;FQL&gt;&lt;Q&gt;GSF-NO^FG_PRICE(0,0,,USD)&lt;/Q&gt;&lt;R&gt;1&lt;/R&gt;&lt;C&gt;1&lt;/C&gt;&lt;D xsi:type="xsd:double"&gt;9.9421625&lt;/D&gt;&lt;/FQL&gt;&lt;FQL&gt;&lt;Q&gt;LSG-NO^FG_PRICE(0,0,,USD)&lt;/Q&gt;&lt;R&gt;1&lt;/R&gt;&lt;C&gt;1&lt;/C&gt;&lt;D xsi:type="xsd:double"&gt;8.817567&lt;/D&gt;&lt;/FQL&gt;&lt;FQL&gt;&lt;Q&gt;SALMOCAM-CL^FG_PRICE(0,0,,USD)&lt;/Q&gt;&lt;R&gt;1&lt;/R&gt;&lt;C&gt;1&lt;/C&gt;&lt;D xsi:type="xsd:double"&gt;4.742112&lt;/D&gt;&lt;/FQL&gt;&lt;FQL&gt;&lt;Q&gt;AQUA-RU^FG_PRICE(0,0,,USD)&lt;/Q&gt;&lt;R&gt;1&lt;/R&gt;&lt;C&gt;1&lt;/C&gt;&lt;D xsi:type="xsd:double"&gt;6.430473&lt;/D&gt;&lt;/FQL&gt;&lt;FQL&gt;&lt;Q&gt;AQUA-RU^JULIAN(FG_PRICE(1/1/2014,0,CQ).DATES)&lt;/Q&gt;&lt;R&gt;30&lt;/R&gt;&lt;C&gt;1&lt;/C&gt;&lt;D xsi:type="xsd:long"&gt;41729&lt;/D&gt;&lt;D xsi:type="xsd:long"&gt;41820&lt;/D&gt;&lt;D xsi:type="xsd:long"&gt;41912&lt;/D&gt;&lt;D xsi:type="xsd:long"&gt;42003&lt;/D&gt;&lt;D xsi:type="xsd:long"&gt;42094&lt;/D&gt;&lt;D xsi:type="xsd:long"&gt;42185&lt;/D&gt;&lt;D xsi:type="xsd:long"&gt;42277&lt;/D&gt;&lt;D xsi:type="xsd:long"&gt;42368&lt;/D&gt;&lt;D xsi:type="xsd:long"&gt;42460&lt;/D&gt;&lt;D xsi:type="xsd:long"&gt;42551&lt;/D&gt;&lt;D xsi:type="xsd:long"&gt;42643&lt;/D&gt;&lt;D xsi:type="xsd:long"&gt;42734&lt;/D&gt;&lt;D xsi:type="xsd:long"&gt;42825&lt;/D&gt;&lt;D xsi:type="xsd:long"&gt;42916&lt;/D&gt;&lt;D xsi:type="xsd:long"&gt;43007&lt;/D&gt;&lt;D xsi:type="xsd:long"&gt;43098&lt;/D&gt;&lt;D xsi:type="xsd:long"&gt;43189&lt;/D&gt;&lt;D xsi:type="xsd:long"&gt;43280&lt;/D&gt;&lt;D xsi:type="xsd:long"&gt;43371&lt;/D&gt;&lt;D xsi:type="xsd:long"&gt;43465&lt;/D&gt;&lt;D xsi:type="xsd:long"&gt;43553&lt;/D&gt;&lt;D xsi:type="xsd:long"&gt;43644&lt;/D&gt;&lt;D xsi:type="xsd:long"&gt;43738&lt;/D&gt;&lt;D xsi:type="xsd:long"&gt;43829&lt;/D&gt;&lt;D xsi:type="xsd:long"&gt;43921&lt;/D&gt;&lt;D xsi:type="xsd:long"&gt;44012&lt;/D&gt;&lt;D xsi:type="xsd:long"&gt;44104&lt;/D&gt;&lt;D xsi:type="xsd:long"&gt;44195&lt;/D&gt;&lt;D xsi:type="xsd:long"&gt;44286&lt;/D&gt;&lt;D xsi:type="xsd:long"&gt;44377&lt;/D&gt;&lt;/FQL&gt;&lt;FQL&gt;&lt;Q&gt;AQUA-RU^FG_PRICE(1/1/2014,0,CQ)&lt;/Q&gt;&lt;R&gt;30&lt;/R&gt;&lt;C&gt;1&lt;/C&gt;&lt;D xsi:type="xsd:double"&gt;27.34501&lt;/D&gt;&lt;D xsi:type="xsd:double"&gt;55.601215&lt;/D&gt;&lt;D xsi:type="xsd:double"&gt;35.93759&lt;/D&gt;&lt;D xsi:type="xsd:double"&gt;50.115814&lt;/D&gt;&lt;D xsi:type="xsd:double"&gt;61.96137&lt;/D&gt;&lt;D xsi:type="xsd:double"&gt;48.29342&lt;/D&gt;&lt;D xsi:type="xsd:double"&gt;40.54825&lt;/D&gt;&lt;D xsi:type="xsd:double"&gt;40.09265&lt;/D&gt;&lt;D xsi:type="xsd:double"&gt;31.345163&lt;/D&gt;&lt;D xsi:type="xsd:double"&gt;31.345163&lt;/D&gt;&lt;D xsi:type="xsd:double"&gt;36.174507&lt;/D&gt;&lt;D xsi:type="xsd:double"&gt;81.91657&lt;/D&gt;&lt;D xsi:type="xsd:double"&gt;55.309635&lt;/D&gt;&lt;D xsi:type="xsd:double"&gt;145.79146&lt;/D&gt;&lt;D xsi:type="xsd:double"&gt;168.57137&lt;/D&gt;&lt;D xsi:type="xsd:double"&gt;157&lt;/D&gt;&lt;D xsi:type="xsd:double"&gt;154&lt;/D&gt;&lt;D xsi:type="xsd:double"&gt;200&lt;/D&gt;&lt;D xsi:type="xsd:double"&gt;155&lt;/D&gt;&lt;D xsi:type="xsd:double"&gt;139&lt;/D&gt;&lt;D xsi:type="xsd:double"&gt;153&lt;/D&gt;&lt;D xsi:type="xsd:double"&gt;221.5&lt;/D&gt;&lt;D xsi:type="xsd:double"&gt;222&lt;/D&gt;&lt;D xsi:type="xsd:double"&gt;255.5&lt;/D&gt;&lt;D xsi:type="xsd:double"&gt;233.5&lt;/D&gt;&lt;D xsi:type="xsd:double"&gt;204&lt;/D&gt;&lt;D xsi:type="xsd:double"&gt;230.5&lt;/D&gt;&lt;D xsi:type="xsd:double"&gt;261.5&lt;/D&gt;&lt;D xsi:type="xsd:double"&gt;306&lt;/D&gt;&lt;D xsi:type="xsd:double"&gt;360&lt;/D&gt;&lt;/FQL&gt;&lt;FQL&gt;&lt;Q&gt;XMICEX00^FG_PRICE(1/1/2014,0,CQ)&lt;/Q&gt;&lt;R&gt;30&lt;/R&gt;&lt;C&gt;1&lt;/C&gt;&lt;D xsi:type="xsd:double"&gt;1369.29&lt;/D&gt;&lt;D xsi:type="xsd:double"&gt;1476.38&lt;/D&gt;&lt;D xsi:type="xsd:double"&gt;1411.07&lt;/D&gt;&lt;D xsi:type="xsd:double"&gt;1396.61&lt;/D&gt;&lt;D xsi:type="xsd:double"&gt;1626.18&lt;/D&gt;&lt;D xsi:type="xsd:double"&gt;1654.55&lt;/D&gt;&lt;D xsi:type="xsd:double"&gt;1642.97&lt;/D&gt;&lt;D xsi:type="xsd:double"&gt;1761.36&lt;/D&gt;&lt;D xsi:type="xsd:double"&gt;1871.15&lt;/D&gt;&lt;D xsi:type="xsd:double"&gt;1891.09&lt;/D&gt;&lt;D xsi:type="xsd:double"&gt;1978&lt;/D&gt;&lt;D xsi:type="xsd:double"&gt;2232.72&lt;/D&gt;&lt;D xsi:type="xsd:double"&gt;1995.9&lt;/D&gt;&lt;D xsi:type="xsd:double"&gt;1879.5&lt;/D&gt;&lt;D xsi:type="xsd:double"&gt;2077.19&lt;/D&gt;&lt;D xsi:type="xsd:double"&gt;2109.74&lt;/D&gt;&lt;D xsi:type="xsd:double"&gt;2274.62&lt;/D&gt;&lt;D xsi:type="xsd:double"&gt;2295.95&lt;/D&gt;&lt;D xsi:type="xsd:double"&gt;2475.36&lt;/D&gt;&lt;D xsi:type="xsd:double"&gt;2358.5&lt;/D&gt;&lt;D xsi:type="xsd:double"&gt;2497.1&lt;/D&gt;&lt;D xsi:type="xsd:double"&gt;2565.1&lt;/D&gt;&lt;D xsi:type="xsd:double"&gt;2565.1&lt;/D&gt;&lt;D xsi:type="xsd:double"&gt;2565.1&lt;/D&gt;&lt;D xsi:type="xsd:double"&gt;2565.1&lt;/D&gt;&lt;D xsi:type="xsd:double"&gt;2565.1&lt;/D&gt;&lt;D xsi:type="xsd:double"&gt;2565.1&lt;/D&gt;&lt;D xsi:type="xsd:double"&gt;2565.1&lt;/D&gt;&lt;D xsi:type="xsd:double"&gt;2565.1&lt;/D&gt;&lt;D xsi:type="xsd:double"&gt;2565.1&lt;/D&gt;&lt;/FQL&gt;&lt;FQL&gt;&lt;Q&gt;USDRUB^FG_PRICE(1/1/2014,0,CQ)&lt;/Q&gt;&lt;R&gt;30&lt;/R&gt;&lt;C&gt;1&lt;/C&gt;&lt;D xsi:type="xsd:double"&gt;35.1384&lt;/D&gt;&lt;D xsi:type="xsd:double"&gt;34.0524&lt;/D&gt;&lt;D xsi:type="xsd:double"&gt;39.555&lt;/D&gt;&lt;D xsi:type="xsd:double"&gt;60&lt;/D&gt;&lt;D xsi:type="xsd:double"&gt;58.12725&lt;/D&gt;&lt;D xsi:type="xsd:double"&gt;55.7149&lt;/D&gt;&lt;D xsi:type="xsd:double"&gt;65.6059&lt;/D&gt;&lt;D xsi:type="xsd:double"&gt;73.035&lt;/D&gt;&lt;D xsi:type="xsd:double"&gt;66.86&lt;/D&gt;&lt;D xsi:type="xsd:double"&gt;63.8775&lt;/D&gt;&lt;D xsi:type="xsd:double"&gt;63.02125&lt;/D&gt;&lt;D xsi:type="xsd:double"&gt;61.04375&lt;/D&gt;&lt;D xsi:type="xsd:double"&gt;56.3419&lt;/D&gt;&lt;D xsi:type="xsd:double"&gt;59.26875&lt;/D&gt;&lt;D xsi:type="xsd:double"&gt;57.5575&lt;/D&gt;&lt;D xsi:type="xsd:double"&gt;57.57125&lt;/D&gt;&lt;D xsi:type="xsd:double"&gt;57.500004&lt;/D&gt;&lt;D xsi:type="xsd:double"&gt;62.7025&lt;/D&gt;&lt;D xsi:type="xsd:double"&gt;65.49505&lt;/D&gt;&lt;D xsi:type="xsd:double"&gt;69.3725&lt;/D&gt;&lt;D xsi:type="xsd:double"&gt;65.6975&lt;/D&gt;&lt;D xsi:type="xsd:double"&gt;63.075&lt;/D&gt;&lt;D xsi:type="xsd:double"&gt;64.8825&lt;/D&gt;&lt;D xsi:type="xsd:double"&gt;62.11125&lt;/D&gt;&lt;D xsi:type="xsd:double"&gt;78.13375&lt;/D&gt;&lt;D xsi:type="xsd:double"&gt;71.2544&lt;/D&gt;&lt;D xsi:type="xsd:double"&gt;77.60125&lt;/D&gt;&lt;D xsi:type="xsd:double"&gt;73.9644&lt;/D&gt;&lt;D xsi:type="xsd:double"&gt;75.51875&lt;/D&gt;&lt;D xsi:type="xsd:double"&gt;73.05375&lt;/D&gt;&lt;/FQL&gt;&lt;FQL&gt;&lt;Q&gt;MOWI-NO^FG_PRICE(1/1/2014,0,CQ)&lt;/Q&gt;&lt;R&gt;30&lt;/R&gt;&lt;C&gt;1&lt;/C&gt;&lt;D xsi:type="xsd:double"&gt;63.333603&lt;/D&gt;&lt;D xsi:type="xsd:double"&gt;83.75&lt;/D&gt;&lt;D xsi:type="xsd:double"&gt;89.9&lt;/D&gt;&lt;D xsi:type="xsd:double"&gt;102.9&lt;/D&gt;&lt;D xsi:type="xsd:double"&gt;92.55&lt;/D&gt;&lt;D xsi:type="xsd:double"&gt;89.9&lt;/D&gt;&lt;D xsi:type="xsd:double"&gt;108.4&lt;/D&gt;&lt;D xsi:type="xsd:double"&gt;119.6&lt;/D&gt;&lt;D xsi:type="xsd:double"&gt;127.5&lt;/D&gt;&lt;D xsi:type="xsd:double"&gt;139.5&lt;/D&gt;&lt;D xsi:type="xsd:double"&gt;143.1&lt;/D&gt;&lt;D xsi:type="xsd:double"&gt;155.7&lt;/D&gt;&lt;D xsi:type="xsd:double"&gt;130.9&lt;/D&gt;&lt;D xsi:type="xsd:double"&gt;142.9&lt;/D&gt;&lt;D xsi:type="xsd:double"</t>
        </r>
      </text>
    </comment>
    <comment ref="A1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&gt;157.5&lt;/D&gt;&lt;D xsi:type="xsd:double"&gt;139&lt;/D&gt;&lt;D xsi:type="xsd:double"&gt;157.2&lt;/D&gt;&lt;D xsi:type="xsd:double"&gt;162.2&lt;/D&gt;&lt;D xsi:type="xsd:double"&gt;188.55&lt;/D&gt;&lt;D xsi:type="xsd:double"&gt;182.7&lt;/D&gt;&lt;D xsi:type="xsd:double"&gt;192.5&lt;/D&gt;&lt;D xsi:type="xsd:double"&gt;199.45&lt;/D&gt;&lt;D xsi:type="xsd:double"&gt;209.9&lt;/D&gt;&lt;D xsi:type="xsd:double"&gt;228.2&lt;/D&gt;&lt;D xsi:type="xsd:double"&gt;158.65&lt;/D&gt;&lt;D xsi:type="xsd:double"&gt;182.65&lt;/D&gt;&lt;D xsi:type="xsd:double"&gt;165.85&lt;/D&gt;&lt;D xsi:type="xsd:double"&gt;191&lt;/D&gt;&lt;D xsi:type="xsd:double"&gt;212.2&lt;/D&gt;&lt;D xsi:type="xsd:double"&gt;219&lt;/D&gt;&lt;/FQL&gt;&lt;FQL&gt;&lt;Q&gt;BAKKA-NO^FG_PRICE(1/1/2014,0,CQ)&lt;/Q&gt;&lt;R&gt;30&lt;/R&gt;&lt;C&gt;1&lt;/C&gt;&lt;D xsi:type="xsd:double"&gt;98.85695&lt;/D&gt;&lt;D xsi:type="xsd:double"&gt;119.327324&lt;/D&gt;&lt;D xsi:type="xsd:double"&gt;138.29987&lt;/D&gt;&lt;D xsi:type="xsd:double"&gt;167.25797&lt;/D&gt;&lt;D xsi:type="xsd:double"&gt;174.24785&lt;/D&gt;&lt;D xsi:type="xsd:double"&gt;209.19728&lt;/D&gt;&lt;D xsi:type="xsd:double"&gt;271.60696&lt;/D&gt;&lt;D xsi:type="xsd:double"&gt;261.4217&lt;/D&gt;&lt;D xsi:type="xsd:double"&gt;320.03687&lt;/D&gt;&lt;D xsi:type="xsd:double"&gt;314.14542&lt;/D&gt;&lt;D xsi:type="xsd:double"&gt;333.2178&lt;/D&gt;&lt;D xsi:type="xsd:double"&gt;342.30466&lt;/D&gt;&lt;D xsi:type="xsd:double"&gt;265.21622&lt;/D&gt;&lt;D xsi:type="xsd:double"&gt;313.94568&lt;/D&gt;&lt;D xsi:type="xsd:double"&gt;365.37128&lt;/D&gt;&lt;D xsi:type="xsd:double"&gt;347.1976&lt;/D&gt;&lt;D xsi:type="xsd:double"&gt;428.3801&lt;/D&gt;&lt;D xsi:type="xsd:double"&gt;451.5466&lt;/D&gt;&lt;D xsi:type="xsd:double"&gt;495.6827&lt;/D&gt;&lt;D xsi:type="xsd:double"&gt;422.5885&lt;/D&gt;&lt;D xsi:type="xsd:double"&gt;426.18326&lt;/D&gt;&lt;D xsi:type="xsd:double"&gt;475.3122&lt;/D&gt;&lt;D xsi:type="xsd:double"&gt;537&lt;/D&gt;&lt;D xsi:type="xsd:double"&gt;650&lt;/D&gt;&lt;D xsi:type="xsd:double"&gt;494.6&lt;/D&gt;&lt;D xsi:type="xsd:double"&gt;605.5&lt;/D&gt;&lt;D xsi:type="xsd:double"&gt;601.5&lt;/D&gt;&lt;D xsi:type="xsd:double"&gt;612.5&lt;/D&gt;&lt;D xsi:type="xsd:double"&gt;677.5&lt;/D&gt;&lt;D xsi:type="xsd:double"&gt;711&lt;/D&gt;&lt;/FQL&gt;&lt;FQL&gt;&lt;Q&gt;AUSS-NO^FG_PRICE(1/1/2014,0,CQ)&lt;/Q&gt;&lt;R&gt;30&lt;/R&gt;&lt;C&gt;1&lt;/C&gt;&lt;D xsi:type="xsd:double"&gt;35.5&lt;/D&gt;&lt;D xsi:type="xsd:double"&gt;40.3&lt;/D&gt;&lt;D xsi:type="xsd:double"&gt;42.7&lt;/D&gt;&lt;D xsi:type="xsd:double"&gt;46.5&lt;/D&gt;&lt;D xsi:type="xsd:double"&gt;43.1&lt;/D&gt;&lt;D xsi:type="xsd:double"&gt;41.1&lt;/D&gt;&lt;D xsi:type="xsd:double"&gt;53&lt;/D&gt;&lt;D xsi:type="xsd:double"&gt;54&lt;/D&gt;&lt;D xsi:type="xsd:double"&gt;68&lt;/D&gt;&lt;D xsi:type="xsd:double"&gt;69.75&lt;/D&gt;&lt;D xsi:type="xsd:double"&gt;67.25&lt;/D&gt;&lt;D xsi:type="xsd:double"&gt;83.75&lt;/D&gt;&lt;D xsi:type="xsd:double"&gt;63&lt;/D&gt;&lt;D xsi:type="xsd:double"&gt;71&lt;/D&gt;&lt;D xsi:type="xsd:double"&gt;83&lt;/D&gt;&lt;D xsi:type="xsd:double"&gt;68.25&lt;/D&gt;&lt;D xsi:type="xsd:double"&gt;78.5&lt;/D&gt;&lt;D xsi:type="xsd:double"&gt;97.8&lt;/D&gt;&lt;D xsi:type="xsd:double"&gt;112.2&lt;/D&gt;&lt;D xsi:type="xsd:double"&gt;106.8&lt;/D&gt;&lt;D xsi:type="xsd:double"&gt;102&lt;/D&gt;&lt;D xsi:type="xsd:double"&gt;89.55&lt;/D&gt;&lt;D xsi:type="xsd:double"&gt;86.25&lt;/D&gt;&lt;D xsi:type="xsd:double"&gt;90.05&lt;/D&gt;&lt;D xsi:type="xsd:double"&gt;73.9&lt;/D&gt;&lt;D xsi:type="xsd:double"&gt;79.45&lt;/D&gt;&lt;D xsi:type="xsd:double"&gt;77.7&lt;/D&gt;&lt;D xsi:type="xsd:double"&gt;87.7&lt;/D&gt;&lt;D xsi:type="xsd:double"&gt;103.5&lt;/D&gt;&lt;D xsi:type="xsd:double"&gt;106.8&lt;/D&gt;&lt;/FQL&gt;&lt;FQL&gt;&lt;Q&gt;ASA-NO^FG_PRICE(1/1/2014,0,CQ)&lt;/Q&gt;&lt;R&gt;30&lt;/R&gt;&lt;C&gt;1&lt;/C&gt;&lt;D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xsi:type="xsd:double"&gt;25.5&lt;/D&gt;&lt;D xsi:type="xsd:double"&gt;28&lt;/D&gt;&lt;D xsi:type="xsd:double"&gt;34&lt;/D&gt;&lt;D xsi:type="xsd:double"&gt;46&lt;/D&gt;&lt;D xsi:type="xsd:double"&gt;58&lt;/D&gt;&lt;D xsi:type="xsd:double"&gt;69&lt;/D&gt;&lt;D xsi:type="xsd:double"&gt;90.5&lt;/D&gt;&lt;D xsi:type="xsd:double"&gt;97&lt;/D&gt;&lt;D xsi:type="xsd:double"&gt;106&lt;/D&gt;&lt;D xsi:type="xsd:double"&gt;129&lt;/D&gt;&lt;D xsi:type="xsd:double"&gt;90&lt;/D&gt;&lt;D xsi:type="xsd:double"&gt;125.5&lt;/D&gt;&lt;D xsi:type="xsd:double"&gt;110&lt;/D&gt;&lt;D xsi:type="xsd:double"&gt;120&lt;/D&gt;&lt;D xsi:type="xsd:double"&gt;120.5&lt;/D&gt;&lt;D xsi:type="xsd:double"&gt;90.9&lt;/D&gt;&lt;/FQL&gt;&lt;FQL&gt;&lt;Q&gt;ANDF-NO^FG_PRICE(1/1/2014,0,CQ)&lt;/Q&gt;&lt;R&gt;30&lt;/R&gt;&lt;C&gt;1&lt;/C&gt;&lt;D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xsi:type="xsd:double"&gt;29&lt;/D&gt;&lt;D xsi:type="xsd:double"&gt;50&lt;/D&gt;&lt;D xsi:type="xsd:double"&gt;32&lt;/D&gt;&lt;D xsi:type="xsd:double"&gt;50&lt;/D&gt;&lt;D xsi:type="xsd:double"&gt;51.49&lt;/D&gt;&lt;D xsi:type="xsd:double"&gt;55&lt;/D&gt;&lt;D xsi:type="xsd:double"&gt;54.5&lt;/D&gt;&lt;D xsi:type="xsd:double"&gt;44.15&lt;/D&gt;&lt;/FQL&gt;&lt;FQL&gt;&lt;Q&gt;SALM-NO^FG_PRICE(1/1/2014,0,CQ)&lt;/Q&gt;&lt;R&gt;30&lt;/R&gt;&lt;C&gt;1&lt;/C&gt;&lt;D xsi:type="xsd:double"&gt;85.75&lt;/D&gt;&lt;D xsi:type="xsd:double"&gt;107&lt;/D&gt;&lt;D xsi:type="xsd:double"&gt;113.5&lt;/D&gt;&lt;D xsi:type="xsd:double"&gt;127.5&lt;/D&gt;&lt;D xsi:type="xsd:double"&gt;116&lt;/D&gt;&lt;D xsi:type="xsd:double"&gt;115&lt;/D&gt;&lt;D xsi:type="xsd:double"&gt;134.5&lt;/D&gt;&lt;D xsi:type="xsd:double"&gt;155&lt;/D&gt;&lt;D xsi:type="xsd:double"&gt;203&lt;/D&gt;&lt;D xsi:type="xsd:double"&gt;247.1&lt;/D&gt;&lt;D xsi:type="xsd:double"&gt;244&lt;/D&gt;&lt;D xsi:type="xsd:double"&gt;258.1&lt;/D&gt;&lt;D xsi:type="xsd:double"&gt;185.2&lt;/D&gt;&lt;D xsi:type="xsd:double"&gt;207.1&lt;/D&gt;&lt;D xsi:type="xsd:double"&gt;225&lt;/D&gt;&lt;D xsi:type="xsd:double"&gt;246.8&lt;/D&gt;&lt;D xsi:type="xsd:double"&gt;321.2&lt;/D&gt;&lt;D xsi:type="xsd:double"&gt;341.8&lt;/D&gt;&lt;D xsi:type="xsd:double"&gt;406.2&lt;/D&gt;&lt;D xsi:type="xsd:double"&gt;428&lt;/D&gt;&lt;D xsi:type="xsd:double"&gt;413.8&lt;/D&gt;&lt;D xsi:type="xsd:double"&gt;370.9&lt;/D&gt;&lt;D xsi:type="xsd:double"&gt;399&lt;/D&gt;&lt;D xsi:type="xsd:double"&gt;449.3&lt;/D&gt;&lt;D xsi:type="xsd:double"&gt;347.4&lt;/D&gt;&lt;D xsi:type="xsd:double"&gt;459.1&lt;/D&gt;&lt;D xsi:type="xsd:double"&gt;529&lt;/D&gt;&lt;D xsi:type="xsd:double"&gt;503.6&lt;/D&gt;&lt;D xsi:type="xsd:double"&gt;590&lt;/D&gt;&lt;D xsi:type="xsd:double"&gt;571.2&lt;/D&gt;&lt;/FQL&gt;&lt;FQL&gt;&lt;Q&gt;GSF-NO^FG_PRICE(1/1/2014,0,CQ)&lt;/Q&gt;&lt;R&gt;30&lt;/R&gt;&lt;C&gt;1&lt;/C&gt;&lt;D xsi:type="xsd:double"&gt;23.9&lt;/D&gt;&lt;D xsi:type="xsd:double"&gt;28.8&lt;/D&gt;&lt;D xsi:type="xsd:double"&gt;28.5&lt;/D&gt;&lt;D xsi:type="xsd:double"&gt;28.5&lt;/D&gt;&lt;D xsi:type="xsd:double"&gt;23.2&lt;/D&gt;&lt;D xsi:type="xsd:double"&gt;26.7&lt;/D&gt;&lt;D xsi:type="xsd:double"&gt;28.7&lt;/D&gt;&lt;D xsi:type="xsd:double"&gt;31&lt;/D&gt;&lt;D xsi:type="xsd:double"&gt;43&lt;/D&gt;&lt;D xsi:type="xsd:double"&gt;54&lt;/D&gt;&lt;D xsi:type="xsd:double"&gt;63.75&lt;/D&gt;&lt;D xsi:type="xsd:double"&gt;81.7&lt;/D&gt;&lt;D xsi:type="xsd:double"&gt;64.45&lt;/D&gt;&lt;D xsi:type="xsd:double"&gt;58.2&lt;/D&gt;&lt;D xsi:type="xsd:double"&gt;78.4&lt;/D&gt;&lt;D xsi:type="xsd:double"&gt;72.25&lt;/D&gt;&lt;D xsi:type="xsd:double"&gt;72.2&lt;/D&gt;&lt;D xsi:type="xsd:double"&gt;85.9&lt;/D&gt;&lt;D xsi:type="xsd:double"&gt;107.5&lt;/D&gt;&lt;D xsi:type="xsd:double"&gt;102.3&lt;/D&gt;&lt;D xsi:type="xsd:double"&gt;104.6&lt;/D&gt;&lt;D xsi:type="xsd:double"&gt;118.3&lt;/D&gt;&lt;D xsi:type="xsd:double"&gt;111.2&lt;/D&gt;&lt;D xsi:type="xsd:double"&gt;140.3&lt;/D&gt;&lt;D xsi:type="xsd:double"&gt;96.7&lt;/D&gt;&lt;D xsi:type="xsd:double"&gt;98.45&lt;/D&gt;&lt;D xsi:type="xsd:double"&gt;85.4&lt;/D&gt;&lt;D xsi:type="xsd:double"&gt;85&lt;/D&gt;&lt;D xsi:type="xsd:double"&gt;84.65&lt;/D&gt;&lt;D xsi:type="xsd:double"&gt;88.7&lt;/D&gt;&lt;/FQL&gt;&lt;FQL&gt;&lt;Q&gt;LSG-NO^FG_PRICE(1/1/2014,0,CQ)&lt;/Q&gt;&lt;R&gt;30&lt;/R&gt;&lt;C&gt;1&lt;/C&gt;&lt;D xsi:type="xsd:double"&gt;19.45&lt;/D&gt;&lt;D xsi:type="xsd:double"&gt;22.4&lt;/D&gt;&lt;D xsi:type="xsd:double"&gt;24.75&lt;/D&gt;&lt;D xsi:type="xsd:double"&gt;27.300001&lt;/D&gt;&lt;D xsi:type="xsd:double"&gt;23.5&lt;/D&gt;&lt;D xsi:type="xsd:double"&gt;25.6&lt;/D&gt;&lt;D xsi:type="xsd:double"&gt;30.6&lt;/D&gt;&lt;D xsi:type="xsd:double"&gt;33&lt;/D&gt;&lt;D xsi:type="xsd:double"&gt;39.100002&lt;/D&gt;&lt;D xsi:type="xsd:double"&gt;39.3&lt;/D&gt;&lt;D xsi:type="xsd:double"&gt;40.39&lt;/D&gt;&lt;D xsi:type="xsd:double"&gt;48.11&lt;/D&gt;&lt;D xsi:type="xsd:double"&gt;37.600002&lt;/D&gt;&lt;D xsi:type="xsd:double"&gt;45.35&lt;/D&gt;&lt;D xsi:type="xsd:double"&gt;50.95&lt;/D&gt;&lt;D xsi:type="xsd:double"&gt;43.98&lt;/D&gt;&lt;D xsi:type="xsd:double"&gt;48.5&lt;/D&gt;&lt;D xsi:type="xsd:double"&gt;54.88&lt;/D&gt;&lt;D xsi:type="xsd:double"&gt;66.42&lt;/D&gt;&lt;D xsi:type="xsd:double"&gt;65.94&lt;/D&gt;&lt;D xsi:type="xsd:double"&gt;62.56&lt;/D&gt;&lt;D xsi:type="xsd:double"&gt;56.44&lt;/D&gt;&lt;D xsi:type="xsd:double"&gt;55.26&lt;/D&gt;&lt;D xsi:type="xsd:double"&gt;58.3&lt;/D&gt;&lt;D xsi:type="xsd:double"&gt;51.14&lt;/D&gt;&lt;D xsi:type="xsd:double"&gt;57.76&lt;/D&gt;&lt;D xsi:type="xsd:double"&gt;53.6&lt;/D&gt;&lt;D xsi:type="xsd:double"&gt;60.56&lt;/D&gt;&lt;D xsi:type="xsd:double"&gt;73.1&lt;/D&gt;&lt;D xsi:type="xsd:double"&gt;75.48&lt;/D&gt;&lt;/FQL&gt;&lt;FQL&gt;&lt;Q&gt;SALMOCAM-CL^FG_PRICE(1/1/2014,0,CQ)&lt;/Q&gt;&lt;R&gt;30&lt;/R&gt;&lt;C&gt;1&lt;/C&gt;&lt;D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xsi:type="xsd:double"&gt;3900&lt;/D&gt;&lt;D xsi:type="xsd:double"&gt;4500&lt;/D&gt;&lt;D xsi:type="xsd:double"&gt;5650&lt;/D&gt;&lt;D xsi:type="xsd:double"&gt;6450&lt;/D&gt;&lt;D xsi:type="xsd:double"&gt;6350&lt;/D&gt;&lt;D xsi:type="xsd:double"&gt;5930&lt;/D&gt;&lt;D xsi:type="xsd:double"&gt;5200.4&lt;/D&gt;&lt;D xsi:type="xsd:double"&gt;6350&lt;/D&gt;&lt;D xsi:type="xsd:double"&gt;4192.5&lt;/D&gt;&lt;D xsi:type="xsd:double"&gt;4708.9&lt;/D&gt;&lt;D xsi:type="xsd:double"&gt;4540.9&lt;/D&gt;&lt;D xsi:type="xsd:double"&gt;4514.6&lt;/D&gt;&lt;D xsi:type="xsd:double"&gt;5884.3&lt;/D&gt;&lt;D xsi:type="xsd:double"&gt;4282.8&lt;/D&gt;&lt;/FQL&gt;&lt;FQL&gt;&lt;Q&gt;USDNOK^FG_PRICE(1/1/2014,0,CQ)&lt;/Q&gt;&lt;R&gt;30&lt;/R&gt;&lt;C&gt;1&lt;/C&gt;&lt;D xsi:type="xsd:double"&gt;5.98705&lt;/D&gt;&lt;D xsi:type="xsd:double"&gt;6.1363&lt;/D&gt;&lt;D xsi:type="xsd:double"&gt;6.42275&lt;/D&gt;&lt;D xsi:type="xsd:double"&gt;7.49755&lt;/D&gt;&lt;D xsi:type="xsd:double"&gt;8.0591&lt;/D&gt;&lt;D xsi:type="xsd:double"&gt;7.8675&lt;/D&gt;&lt;D xsi:type="xsd:double"&gt;8.53&lt;/D&gt;&lt;D xsi:type="xsd:double"&gt;8.85135&lt;/D&gt;&lt;D xsi:type="xsd:double"&gt;8.27125&lt;/D&gt;&lt;D xsi:type="xsd:double"&gt;8.36795&lt;/D&gt;&lt;D xsi:type="xsd:double"&gt;7.9923&lt;/D&gt;&lt;D xsi:type="xsd:double"&gt;8.6077&lt;/D&gt;&lt;D xsi:type="xsd:double"&gt;8.5889&lt;/D&gt;&lt;D xsi:type="xsd:double"&gt;8.37665&lt;/D&gt;&lt;D xsi:type="xsd:double"&gt;7.9603&lt;/D&gt;&lt;D xsi:type="xsd:double"&gt;8.17935&lt;/D&gt;&lt;D xsi:type="xsd:double"&gt;7.850941&lt;/D&gt;&lt;D xsi:type="xsd:double"&gt;8.1504&lt;/D&gt;&lt;D xsi:type="xsd:double"&gt;8.1433&lt;/D&gt;&lt;D xsi:type="xsd:double"&gt;8.65915&lt;/D&gt;&lt;D xsi:type="xsd:double"&gt;8.6116&lt;/D&gt;&lt;D xsi:type="xsd:double"&gt;8.52605&lt;/D&gt;&lt;D xsi:type="xsd:double"&gt;9.08595&lt;/D&gt;&lt;D xsi:type="xsd:double"&gt;8.7873&lt;/D&gt;&lt;D xsi:type="xsd:double"&gt;10.501&lt;/D&gt;&lt;D xsi:type="xsd:double"&gt;9.647&lt;/D&gt;&lt;D xsi:type="xsd:double"&gt;9.3566&lt;/D&gt;&lt;D xsi:type="xsd:double"&gt;8.56195&lt;/D&gt;&lt;D xsi:type="xsd:double"&gt;8.53635&lt;/D&gt;&lt;D xsi:type="xsd:double"&gt;8.6052&lt;/D&gt;&lt;/FQL&gt;&lt;FQL&gt;&lt;Q&gt;1333-JP^FG_PRICE(1/1/2014,0,CQ)&lt;/Q&gt;&lt;R&gt;30&lt;/R&gt;&lt;C&gt;1&lt;/C&gt;&lt;D xsi:type="xsd:string"&gt;@NA&lt;/D&gt;&lt;D xsi:type="xsd:double"&gt;1655&lt;/D&gt;&lt;D xsi:type="xsd:double"&gt;1634&lt;/D&gt;&lt;D xsi:type="xsd:double"&gt;1808&lt;/D&gt;&lt;D xsi:type="xsd:double"&gt;1694&lt;/D&gt;&lt;D xsi:type="xsd:double"&gt;1979&lt;/D&gt;&lt;D xsi:type="xsd:double"&gt;1717&lt;/D&gt;&lt;D xsi:type="xsd:double"&gt;2137&lt;/D&gt;&lt;D xsi:type="xsd:double"&gt;2099&lt;/D&gt;&lt;D xsi:type="xsd:double"&gt;2786&lt;/D&gt;&lt;D xsi:type="xsd:double"&gt;2737&lt;/D&gt;&lt;D xsi:type="xsd:double"&gt;3155&lt;/D&gt;&lt;D xsi:type="xsd:double"&gt;3370&lt;/D&gt;&lt;D xsi:type="xsd:double"&gt;2968&lt;/D&gt;&lt;D xsi:type="xsd:double"&gt;3310&lt;/D&gt;&lt;D xsi:type="xsd:double"&gt;3400&lt;/D&gt;&lt;D xsi:type="xsd:double"&gt;3400&lt;/D&gt;&lt;D xsi:type="xsd:double"&gt;4455&lt;/D&gt;&lt;D xsi:type="xsd:double"&gt;4190&lt;/D&gt;&lt;D xsi:type="xsd:double"&gt;3695&lt;/D&gt;&lt;D xsi:type="xsd:double"&gt;3960&lt;/D&gt;&lt;D xsi:type="xsd:double"&gt;3165&lt;/D&gt;&lt;D xsi:type="xsd:double"&gt;2724&lt;/D&gt;&lt;D xsi:type="xsd:double"&gt;2795&lt;/D&gt;&lt;D xsi:type="xsd:double"&gt;2258&lt;/D&gt;&lt;D xsi:type="xsd:double"&gt;2207&lt;/D&gt;&lt;D xsi:type="xsd:double"&gt;2412&lt;/D&gt;&lt;D xsi:type="xsd:double"&gt;2220&lt;/D&gt;&lt;D xsi:type="xsd:double"&gt;2625&lt;/D&gt;&lt;D xsi:type="xsd:double"&gt;2361&lt;/D&gt;&lt;/FQL&gt;&lt;FQL&gt;&lt;Q&gt;1332-JP^FG_PRICE(1/1/2014,0,CQ)&lt;/Q&gt;&lt;R&gt;30&lt;/R&gt;&lt;C&gt;1&lt;/C&gt;&lt;D xsi:type="xsd:double"&gt;217&lt;/D&gt;&lt;D xsi:type="xsd:double"&gt;313&lt;/D&gt;&lt;D xsi:type="xsd:double"&gt;289&lt;/D&gt;&lt;D xsi:type="xsd:double"&gt;377&lt;/D&gt;&lt;D xsi:type="xsd:double"&gt;365&lt;/D&gt;&lt;D xsi:type="xsd:double"&gt;350&lt;/D&gt;&lt;D xsi:type="xsd:double"&gt;356&lt;/D&gt;&lt;D xsi:type="xsd:double"&gt;679&lt;/D&gt;&lt;D xsi:type="xsd:double"&gt;547&lt;/D&gt;&lt;D xsi:type="xsd:double"&gt;524&lt;/D&gt;&lt;D xsi:type="xsd:double"&gt;433&lt;/D&gt;&lt;D xsi:type="xsd:double"&gt;562&lt;/D&gt;&lt;D xsi:type="xsd:double"&gt;555&lt;/D&gt;&lt;D xsi:type="xsd:double"&gt;657&lt;/D&gt;&lt;D xsi:type="xsd:double"&gt;629&lt;/D&gt;&lt;D xsi:type="xsd:double"&gt;589&lt;/D&gt;&lt;D xsi:type="xsd:double"&gt;552&lt;/D&gt;&lt;D xsi:type="xsd:double"&gt;546&lt;/D&gt;&lt;D xsi:type="xsd:double"&gt;740&lt;/D&gt;&lt;D xsi:type="xsd:double"&gt;614&lt;/D&gt;&lt;D xsi:type="xsd:double"&gt;845&lt;/D&gt;&lt;D xsi:type="xsd:double"&gt;668&lt;/D&gt;&lt;D xsi:type="xsd:double"&gt;611&lt;/D&gt;&lt;D xsi:type="xsd:double"&gt;652&lt;/D&gt;&lt;D xsi:type="xsd:double"&gt;478&lt;/D&gt;&lt;D xsi:type="xsd:double"&gt;468&lt;/D&gt;&lt;D xsi:type="xsd:double"&gt;447&lt;/D&gt;&lt;D xsi:type="xsd:double"&gt;426&lt;/D&gt;&lt;D xsi:type="xsd:double"&gt;532&lt;/D&gt;&lt;D xsi:type="xsd:double"&gt;529&lt;/D&gt;&lt;/FQL&gt;&lt;FQL&gt;&lt;Q&gt;USDJPY^FG_PRICE(1/1/2014,0,CQ)&lt;/Q&gt;&lt;R&gt;30&lt;/R&gt;&lt;C&gt;1&lt;/C&gt;&lt;D xsi:type="xsd:double"&gt;102.985&lt;/D&gt;&lt;D xsi:type="xsd:double"&gt;101.305&lt;/D&gt;&lt;D xsi:type="xsd:double"&gt;109.695&lt;/D&gt;&lt;D xsi:type="xsd:double"&gt;119.895&lt;/D&gt;&lt;D xsi:type="xsd:double"&gt;119.925&lt;/D&gt;&lt;D xsi:type="xsd:double"&gt;122.365&lt;/D&gt;&lt;D xsi:type="xsd:double"&gt;119.765&lt;/D&gt;&lt;D xsi:type="xsd:double"&gt;120.295&lt;/D&gt;&lt;D xsi:type="xsd:double"&gt;112.395&lt;/D&gt;&lt;D xsi:type="xsd:double"&gt;102.59&lt;/D&gt;&lt;D xsi:type="xsd:double"&gt;101.265&lt;/D&gt;&lt;D xsi:type="xsd:double"&gt;116.635&lt;/D&gt;&lt;D xsi:type="xsd:double"&gt;111.43&lt;/D&gt;&lt;D xsi:type="xsd:double"&gt;112.36&lt;/D&gt;&lt;D xsi:type="xsd:double"&gt;112.565&lt;/D&gt;&lt;D xsi:type="xsd:double"&gt;112.65&lt;/D&gt;&lt;D xsi:type="xsd:double"&gt;106.35002&lt;/D&gt;&lt;D xsi:type="xsd:double"&gt;110.765&lt;/D&gt;&lt;D xsi:type="xsd:double"&gt;113.585&lt;/D&gt;&lt;D xsi:type="xsd:double"&gt;109.715&lt;/D&gt;&lt;D xsi:type="xsd:double"&gt;110.685&lt;/D&gt;&lt;D xsi:type="xsd:double"&gt;107.74&lt;/D&gt;&lt;D xsi:type="xsd:double"&gt;108.075&lt;/D&gt;&lt;D xsi:type="xsd:double"&gt;108.675&lt;/D&gt;&lt;D xsi:type="xsd:double"&gt;107.955&lt;/D&gt;&lt;D xsi:type="xsd:double"&gt;107.885&lt;/D&gt;&lt;D xsi:type="xsd:double"&gt;105.53&lt;/D&gt;&lt;D xsi:type="xsd:double"&gt;103.245&lt;/D&gt;&lt;D xsi:type="xsd:double"&gt;110.5&lt;/D&gt;&lt;D xsi:type="xsd:double"&gt;110.99&lt;/D&gt;&lt;/FQL&gt;&lt;FQL&gt;&lt;Q&gt;SALM-FDS^FG_PRICE(1/1/2014,0,CQ)&lt;/Q&gt;&lt;R&gt;30&lt;/R&gt;&lt;C&gt;1&lt;/C&gt;&lt;D xsi:type="xsd:double"&gt;44.01&lt;/D&gt;&lt;D xsi:type="xsd:double"&gt;32.56&lt;/D&gt;&lt;D xsi:type="xsd:double"&gt;33.23&lt;/D&gt;&lt;D xsi:type="xsd:double"&gt;43.39&lt;/D&gt;&lt;D xsi:type="xsd:double"&gt;37.53&lt;/D&gt;&lt;D xsi:type="xsd:double"&gt;39.17&lt;/D&gt;&lt;D xsi:type="xsd:double"&gt;38.21&lt;/D&gt;&lt;D xsi:type="xsd:double"&gt;53.8&lt;/D&gt;&lt;D xsi:type="xsd:double"&gt;67.82&lt;/D&gt;&lt;D xsi:type="xsd:double"&gt;71.35&lt;/D&gt;&lt;D xsi:type="xsd:double"&gt;54.51&lt;/D&gt;&lt;D xsi:type="xsd:double"&gt;79.22&lt;/D&gt;&lt;D xsi:type="xsd:double"&gt;62.96&lt;/D&gt;&lt;D xsi:type="xsd:double"&gt;69.47&lt;/D&gt;&lt;D xsi:type="xsd:double"&gt;55.06&lt;/D&gt;&lt;D xsi:type="xsd:double"&gt;52.31&lt;/D&gt;&lt;D xsi:type="xsd:double"&gt;76.71&lt;/D&gt;&lt;D xsi:type="xsd:double"&gt;55.06&lt;/D&gt;&lt;D xsi:type="xsd:double"&gt;57.44&lt;/D&gt;&lt;D xsi:type="xsd:double"&gt;65.73&lt;/D&gt;&lt;D xsi:type="xsd:double"&gt;63.73&lt;/D&gt;&lt;D xsi:type="xsd:double"&gt;55.61&lt;/D&gt;&lt;D xsi:type="xsd:double"&gt;41.96&lt;/D&gt;&lt;D xsi:type="xsd:double"&gt;77.82&lt;/D&gt;&lt;D xsi:type="xsd:double"&gt;54.39&lt;/D&gt;&lt;D xsi:type="xsd:double"&gt;57.14&lt;/D&gt;&lt;D xsi:type="xsd:double"&gt;47.87&lt;/D&gt;&lt;D xsi:type="xsd:double"&gt;46.41&lt;/D&gt;&lt;D xsi:type="xsd:double"&gt;64.03&lt;/D&gt;&lt;D xsi:type="xsd:double"&gt;59.09&lt;/D&gt;&lt;/FQL&gt;&lt;FQL&gt;&lt;Q&gt;USDCLP^FG_PRICE(1/1/2014,0,CQ)&lt;/Q&gt;&lt;R&gt;30&lt;/R&gt;&lt;C&gt;1&lt;/C&gt;&lt;D xsi:type="xsd:double"&gt;550.74&lt;/D&gt;&lt;D xsi:type="xsd:double"&gt;553.67&lt;/D&gt;&lt;D xsi:type="xsd:double"&gt;597.37&lt;/D&gt;&lt;D xsi:type="xsd:double"&gt;606.85&lt;/D&gt;&lt;D xsi:type="xsd:double"&gt;623.4&lt;/D&gt;&lt;D xsi:type="xsd:double"&gt;639.53&lt;/D&gt;&lt;D xsi:type="xsd:double"&gt;697.67&lt;/D&gt;&lt;D xsi:type="xsd:double"&gt;708.6&lt;/D&gt;&lt;D xsi:type="xsd:double"&gt;668.86&lt;/D&gt;&lt;D xsi:type="xsd:double"&gt;662.065&lt;/D&gt;&lt;D xsi:type="xsd:double"&gt;658.91&lt;/D&gt;&lt;D xsi:type="xsd:double"&gt;669.785&lt;/D&gt;&lt;D xsi:type="xsd:double"&gt;662.105&lt;/D&gt;&lt;D xsi:type="xsd:double"&gt;664.725&lt;/D&gt;&lt;D xsi:type="xsd:double"&gt;639.13&lt;/D&gt;&lt;D xsi:type="xsd:double"&gt;614.98&lt;/D&gt;&lt;D xsi:type="xsd:double"&gt;603.56506&lt;/D&gt;&lt;D xsi:type="xsd:double"&gt;651.045&lt;/D&gt;&lt;D xsi:type="xsd:double"&gt;659.6&lt;/D&gt;&lt;D xsi:type="xsd:double"&gt;694&lt;/D&gt;&lt;D xsi:type="xsd:double"&gt;680.475&lt;/D&gt;&lt;D xsi:type="xsd:double"&gt;678.95&lt;/D&gt;&lt;D xsi:type="xsd:double"&gt;728.205&lt;/D&gt;&lt;D xsi:type="xsd:double"&gt;751.95&lt;/D&gt;&lt;D xsi:type="xsd:double"&gt;852.32&lt;/D&gt;&lt;D xsi:type="xsd:double"&gt;820.6&lt;/D&gt;&lt;D xsi:type="xsd:double"&gt;787.82&lt;/D&gt;&lt;D xsi:type="xsd:double"&gt;710.5&lt;/D&gt;&lt;D xsi:type="xsd:double"&gt;718.4&lt;/D&gt;&lt;D xsi:type="xsd:double"&gt;728.11&lt;/D&gt;&lt;/FQL&gt;&lt;FQL&gt;&lt;Q&gt;NOKRUB^FG_PRICE(1/1/2014,0,CQ)&lt;/Q&gt;&lt;R&gt;30&lt;/R&gt;&lt;C&gt;1&lt;/C&gt;&lt;D xsi:type="xsd:double"&gt;5.869067&lt;/D&gt;&lt;D xsi:type="xsd:double"&gt;5.5493374&lt;/D&gt;&lt;D xsi:type="xsd:double"&gt;6.158577&lt;/D&gt;&lt;D xsi:type="xsd:double"&gt;8.002614&lt;/D&gt;&lt;D xsi:type="xsd:double"&gt;7.212623&lt;/D&gt;&lt;D xsi:type="xsd:double"&gt;7.081652&lt;/D&gt;&lt;D xsi:type="xsd:double"&gt;7.6911964&lt;/D&gt;&lt;D xsi:type="xsd:double"&gt;8.251285&lt;/D&gt;&lt;D xsi:type="xsd:double"&gt;8.083422&lt;/D&gt;&lt;D xsi:type="xsd:double"&gt;7.6335893&lt;/D&gt;&lt;D xsi:type="xsd:double"&gt;7.8852463&lt;/D&gt;&lt;D xsi:type="xsd:double"&gt;7.0917606&lt;/D&gt;&lt;D xsi:type="xsd:double"&gt;6.5598507&lt;/D&gt;&lt;D xsi:type="xsd:double"&gt;7.075472&lt;/D&gt;&lt;D xsi:type="xsd:double"&gt;7.230569&lt;/D&gt;&lt;D xsi:type="xsd:double"&gt;7.0386095&lt;/D&gt;&lt;D xsi:type="xsd:double"&gt;7.323963&lt;/D&gt;&lt;D xsi:type="xsd:double"&gt;7.69318&lt;/D&gt;&lt;D xsi:type="xsd:double"&gt;8.042814&lt;/D&gt;&lt;D xsi:type="xsd:double"&gt;8.011467&lt;/D&gt;&lt;D xsi:type="xsd:double"&gt;7.6289544&lt;/D&gt;&lt;D xsi:type="xsd:double"&gt;7.3979163&lt;/D&gt;&lt;D xsi:type="xsd:double"&gt;7.14097&lt;/D&gt;&lt;D xsi:type="xsd:double"&gt;7.068298&lt;/D&gt;&lt;D xsi:type="xsd:double"&gt;7.440601&lt;/D&gt;&lt;D xsi:type="xsd:double"&gt;7.386172&lt;/D&gt;&lt;D xsi:type="xsd:double"&gt;8.293745&lt;/D&gt;&lt;D xsi:type="xsd:double"&gt;8.638734&lt;/D&gt;&lt;D xsi:type="xsd:double"&gt;8.846726&lt;/D&gt;&lt;D xsi:type="xsd:double"&gt;8.489489&lt;/D&gt;&lt;/FQL&gt;&lt;FQL&gt;&lt;Q&gt;AQUA-RU^PROPER(CONVERT_DATE(FE_TIMESERIES_PERIOD(,2016,2025,FY,'DISPLAY=YYYYMMDD'),"MMM 'YY"))&lt;/Q&gt;&lt;R&gt;10&lt;/R&gt;&lt;C&gt;1&lt;/C&gt;&lt;D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'25&lt;/D&gt;&lt;/FQL&gt;&lt;FQL&gt;&lt;Q&gt;AQUA-RU^FE_TIMESERIES(EPS,MEAN,2016,2025,FY,'BKRACTMED=1,WIN=0,UNITS=AUTO,DATE=NOW')&lt;/Q&gt;&lt;R&gt;10&lt;/R&gt;&lt;C&gt;1&lt;/C&gt;&lt;D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xsi:type="xsd:double"&gt;38.8&lt;/D&gt;&lt;D xsi:type="xsd:double"&gt;50.2&lt;/D&gt;&lt;D xsi:type="xsd:double"&gt;62.3&lt;/D&gt;&lt;D xsi:type="xsd:double"&gt;80.1&lt;/D&gt;&lt;D xsi:type="xsd:string"&gt;@NA&lt;/D&gt;&lt;D xsi:type="xsd:string"&gt;@NA&lt;/D&gt;&lt;/FQL&gt;&lt;FQL&gt;&lt;Q&gt;AQUA-RU^FE_TIMESERIES(SALES,MEAN,2016,2025,FY,'BKRACTMED=1,WIN=0,UNITS=AUTO,DATE=NOW')&lt;/Q&gt;&lt;R&gt;10&lt;/R&gt;&lt;C&gt;1&lt;/C&gt;&lt;D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xsi:type="xsd:double"&gt;8336&lt;/D&gt;&lt;D xsi:type="xsd:double"&gt;13682&lt;/D&gt;&lt;D xsi:type="xsd:double"&gt;14981&lt;/D&gt;&lt;D xsi:type="xsd:double"&gt;17201&lt;/D&gt;&lt;D xsi:type="xsd:string"&gt;@NA&lt;/D&gt;&lt;D xsi:type="xsd:string"&gt;@NA&lt;/D&gt;&lt;/FQL&gt;&lt;FQL&gt;&lt;Q&gt;AQUA-RU^FE_TIMESERIES(COS,MEAN,2016,2025,FY,'BKRACTMED=1,WIN=0,UNITS=AUTO,DATE=NOW')&lt;/Q&gt;&lt;R&gt;10&lt;/R&gt;&lt;C&gt;1&lt;/C&gt;&lt;D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xsi:type="xsd:double"&gt;4997&lt;/D&gt;&lt;D xsi:type="xsd:double"&gt;8509&lt;/D&gt;&lt;D xsi:type="xsd:double"&gt;9382&lt;/D&gt;&lt;D xsi:type="xsd:double"&gt;10578&lt;/D&gt;&lt;D xsi:type="xsd:string"&gt;@NA&lt;/D&gt;&lt;D xsi:type="xsd:string"&gt;@NA&lt;/D&gt;&lt;/FQL&gt;&lt;FQL&gt;&lt;Q&gt;AQUA-RU^FE_TIMESERIES(GROSSINCOME,MEAN,2016,2025,FY,'BKRACTMED=1,WIN=0,UNITS=AUTO,DATE=NOW')&lt;/Q&gt;&lt;R&gt;10&lt;/R&gt;&lt;C&gt;1&lt;/C&gt;&lt;D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xsi:type="xsd:double"&gt;3795&lt;/D&gt;&lt;D xsi:type="xsd:double"&gt;5970&lt;/D&gt;&lt;D xsi:type="xsd:double"&gt;7048&lt;/D&gt;&lt;D xsi:type="xsd:double"&gt;8673&lt;/D&gt;&lt;D xsi:type="xsd:string"&gt;@NA&lt;/D&gt;&lt;D xsi:type="xsd:string"&gt;@NA&lt;/D&gt;&lt;/FQL&gt;&lt;FQL&gt;&lt;Q&gt;AQUA-RU^FE_TIMESERIES(EBITDA,MEAN,2016,2025,FY,'BKRACTMED=1,WIN=0,UNITS=AUTO,DATE=NOW')&lt;/Q&gt;&lt;R&gt;10&lt;/R&gt;&lt;C&gt;1&lt;/C&gt;&lt;D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xsi:type="xsd:double"&gt;3375&lt;/D&gt;&lt;D xsi:type="xsd:double"&gt;4913&lt;/D&gt;&lt;D xsi:type="xsd:double"&gt;5557&lt;/D&gt;&lt;D xsi:type="xsd:double"&gt;6649&lt;/D&gt;&lt;D xsi:type="xsd:string"&gt;@NA&lt;/D&gt;&lt;D xsi:type="xsd:string"&gt;@NA&lt;/D&gt;&lt;/FQL&gt;&lt;FQL&gt;&lt;Q&gt;AQUA-RU^FE_TIMESERIES(DEPR_AMORT,MEAN,2016,2025,FY,'BKRACTMED=1,WIN=0,UNITS=AUTO,DATE=NOW')&lt;/Q&gt;&lt;R&gt;10&lt;/R&gt;&lt;C&gt;1&lt;/C&gt;&lt;D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xsi:type="xsd:double"&gt;499&lt;/D&gt;&lt;D xsi:type="xsd:double"&gt;959&lt;/D&gt;&lt;D xsi:type="xsd:double"&gt;1160&lt;/D&gt;&lt;D xsi:type="xsd:double"&gt;1317&lt;/D&gt;&lt;D xsi:type="xsd:string"&gt;@NA&lt;/D&gt;&lt;D xsi:type="xsd:string"&gt;@NA&lt;/D&gt;&lt;/FQL&gt;&lt;FQL&gt;&lt;Q&gt;AQUA-RU^FE_TIMESERIES(EBIT,MEAN,2016,2025,FY,'BKRACTMED=1,WIN=0,UNITS=AUTO,DATE=NOW')&lt;/Q&gt;&lt;R&gt;10&lt;/R&gt;&lt;C&gt;1&lt;/C&gt;&lt;D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xsi:type="xsd:double"&gt;3344&lt;/D&gt;&lt;D xsi:type="xsd:double"&gt;4750&lt;/D&gt;&lt;D xsi:type="xsd:double"&gt;5845&lt;/D&gt;&lt;D xsi:type="xsd:double"&gt;7381&lt;/D&gt;&lt;D xsi:type="xsd:string"&gt;@NA&lt;/D&gt;&lt;D xsi:type="xsd:string"&gt;@NA&lt;/D&gt;&lt;/FQL&gt;&lt;FQL&gt;&lt;Q&gt;AQUA-RU^FE_TIMESERIES(PTP,MEAN,2016,2025,FY,'BKRACTMED=1,WIN=0,UNITS=AUTO,DATE=NOW')&lt;/Q&gt;&lt;R&gt;10&lt;/R&gt;&lt;C&gt;1&lt;/C&gt;&lt;D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xsi:type="xsd:double"&gt;3149&lt;/D&gt;&lt;D xsi:type="xsd:double"&gt;4327&lt;/D&gt;&lt;D xsi:type="xsd:double"&gt;5365&lt;/D&gt;&lt;D xsi:type="xsd:double"&gt;6901&lt;/D&gt;&lt;D xsi:type="xsd:string"&gt;@NA&lt;/D&gt;&lt;D xsi:type="xsd:string"&gt;@NA&lt;/D&gt;&lt;/FQL&gt;&lt;FQL&gt;&lt;Q&gt;AQUA-RU^FE_TIMESERIES(TAX_EXPENSE,MEAN,2016,2025,FY,'BKRACTMED=1,WIN=0,UNITS=AUTO,DATE=NOW')&lt;/Q&gt;&lt;R&gt;10&lt;/R&gt;&lt;C&gt;1&lt;/C&gt;&lt;D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xsi:type="xsd:double"&gt;36&lt;/D&gt;&lt;D xsi:type="xsd:double"&gt;36&lt;/D&gt;&lt;D xsi:type="xsd:double"&gt;45&lt;/D&gt;&lt;D xsi:type="xsd:double"&gt;57&lt;/D&gt;&lt;D xsi:type="xsd:string"&gt;@NA&lt;/D&gt;&lt;D xsi:type="xsd:string"&gt;@NA&lt;/D&gt;&lt;/FQL&gt;&lt;FQL&gt;&lt;Q&gt;AQUA-RU^FE_TIMESERIES(NETPROFIT,MEAN,2016,2025,FY,'BKRACTMED=1,WIN=0,UNITS=AUTO,DATE=NOW')&lt;/Q&gt;&lt;R&gt;10&lt;/R&gt;&lt;C&gt;1&lt;/C&gt;&lt;D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xsi:type="xsd:double"&gt;3113&lt;/D&gt;&lt;D xsi:type="xsd:double"&gt;4291&lt;/D&gt;&lt;D xsi:type="xsd:double"&gt;5320&lt;/D&gt;&lt;D xsi:type="xsd:double"&gt;6844&lt;/D&gt;&lt;D xsi:type="xsd:string"&gt;@NA&lt;/D&gt;&lt;D xsi:type="xsd:string"&gt;@NA&lt;/D&gt;&lt;/FQL&gt;&lt;FQL&gt;&lt;Q&gt;AQUA-RU^FE_TIMESERIES(CAPEX,MEAN,2016,2025,FY,'BKRACTMED=1,WIN=0,UNITS=AUTO,DATE=NOW')&lt;/Q&gt;&lt;R&gt;10&lt;/R&gt;&lt;C&gt;1&lt;/C&gt;&lt;D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xsi:type="xsd:double"&gt;1832&lt;/D&gt;&lt;D xsi:type="xsd:double"&gt;2731&lt;/D&gt;&lt;D xsi:type="xsd:double"&gt;2692&lt;/D&gt;&lt;D xsi:type="xsd:double"&gt;2747&lt;/D&gt;&lt;D xsi:type="xsd:string"&gt;@NA&lt;/D&gt;&lt;D xsi:type="xsd:string"&gt;@NA&lt;/D&gt;&lt;/FQL&gt;&lt;FQL&gt;&lt;Q&gt;AQUA-RU^FE_TIMESERIES(FCF,MEAN,2016,2025,FY,'BKRACTMED=1,WIN=0,UNITS=AUTO,DATE=NOW')&lt;/Q&gt;&lt;R&gt;10&lt;/R&gt;&lt;C&gt;1&lt;/C&gt;&lt;D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xsi:type="xsd:string"&gt;@NA&lt;/D&gt;&lt;/FQL&gt;&lt;FQL&gt;&lt;Q&gt;AQUA-RU^FE_TIMESERIES(CFI,MEAN,2016,2025,FY,'BKRACTMED=1,WIN=0,UNITS=AUTO,DATE=NOW')&lt;/Q&gt;&lt;R&gt;10&lt;/R&gt;&lt;C&gt;1&lt;/C&gt;&lt;D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xsi:type="xsd:double"&gt;-1851&lt;/D&gt;&lt;D xsi:type="xsd:double"&gt;-3164&lt;/D&gt;&lt;D xsi:type="xsd:double"&gt;-2766&lt;/D&gt;&lt;D xsi:type="xsd:double"&gt;-2821&lt;/D&gt;&lt;D xsi:type="xsd:string"&gt;@NA&lt;/D&gt;&lt;D xsi:type="xsd:string"&gt;@NA&lt;/D&gt;&lt;/FQL&gt;&lt;FQL&gt;&lt;Q&gt;AQUA-RU^FE_TIMESERIES(CFF,MEAN,2016,2025,FY,'BKRACTMED=1,WIN=0,UNITS=AUTO,DATE=NOW')&lt;/Q&gt;&lt;R&gt;10&lt;/R&gt;&lt;C&gt;1&lt;/C&gt;&lt;D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xsi:type="xsd:double"&gt;1810&lt;/D&gt;&lt;D xsi:type="xsd:double"&gt;350&lt;/D&gt;&lt;D xsi:type="xsd:double"&gt;-1600&lt;/D&gt;&lt;D xsi:type="xsd:double"&gt;-1700&lt;/D&gt;&lt;D xsi:type="xsd:string"&gt;@NA&lt;/D&gt;&lt;D xsi:type="xsd:string"&gt;@NA&lt;/D&gt;&lt;/FQL&gt;&lt;FQL&gt;&lt;Q&gt;AQUA-RU^FE_TIMESERIES(CURRENTASSETS,MEAN,2016,2025,FY,'BKRACTMED=1,WIN=0,UNITS=AUTO,DATE=NOW')&lt;/Q&gt;&lt;R&gt;10&lt;/R&gt;&lt;C&gt;1&lt;/C&gt;&lt;D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xsi:type="xsd:double"&gt;11458&lt;/D&gt;&lt;D xsi:type="xsd:double"&gt;13377&lt;/D&gt;&lt;D xsi:type="xsd:double"&gt;15360&lt;/D&gt;&lt;D xsi:type="xsd:double"&gt;18944&lt;/D&gt;&lt;D xsi:type="xsd:string"&gt;@NA&lt;/D&gt;&lt;D xsi:type="xsd:string"&gt;@NA&lt;/D&gt;&lt;/FQL&gt;&lt;FQL&gt;&lt;Q&gt;AQUA-RU^FE_TIMESERIES(CASH_ST,MEAN,2016,2025,FY,'BKRACTMED=1,WIN=0,UNITS=AUTO,DATE=NOW')&lt;/Q&gt;&lt;R&gt;10&lt;/R&gt;&lt;C&gt;1&lt;/C&gt;&lt;D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xsi:type="xsd:double"&gt;628&lt;/D&gt;&lt;D xsi:type="xsd:double"&gt;1383&lt;/D&gt;&lt;D xsi:type="xsd:double"&gt;1602&lt;/D&gt;&lt;D xsi:type="xsd:double"&gt;1776&lt;/D&gt;&lt;D xsi:type="xsd:string"&gt;@NA&lt;/D&gt;&lt;D xsi:type="xsd:string"&gt;@NA&lt;/D&gt;&lt;/FQL&gt;&lt;FQL&gt;&lt;Q&gt;AQUA-RU^FE_TIMESERIES(CURRENTLIABILITIES,MEAN,2016,2025,FY,'BKRACTMED=1,WIN=0,UNITS=AUTO,DATE=NOW')&lt;/Q&gt;&lt;R&gt;10&lt;/R&gt;&lt;C&gt;1&lt;/C&gt;&lt;D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xsi:type="xsd:double"&gt;6355&lt;/D&gt;&lt;D xsi:type="xsd:double"&gt;6593&lt;/D&gt;&lt;D xsi:type="xsd:double"&gt;6679&lt;/D&gt;&lt;D xsi:type="xsd:double"&gt;6797&lt;/D&gt;&lt;D xsi:type="xsd:string"&gt;@NA&lt;/D&gt;&lt;D xsi:type="xsd:string"&gt;@NA&lt;/D&gt;&lt;/FQL&gt;&lt;FQL&gt;&lt;Q&gt;AQUA-RU^FE_TIMESERIES(TOTASSET,MEAN,2016,2025,FY,'BKRACTMED=1,WIN=0,UNITS=AUTO,DATE=NOW')&lt;/Q&gt;&lt;R&gt;10&lt;/R&gt;&lt;C&gt;1&lt;/C&gt;&lt;D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xsi:type="xsd:double"&gt;19813&lt;/D&gt;&lt;D xsi:type="xsd:double"&gt;24693&lt;/D&gt;&lt;D xsi:type="xsd:double"&gt;28499&lt;/D&gt;&lt;D xsi:type="xsd:double"&gt;33762&lt;/D&gt;&lt;D xsi:type="xsd:string"&gt;@NA&lt;/D&gt;&lt;D xsi:type="xsd:string"&gt;@NA&lt;/D&gt;&lt;/FQL&gt;&lt;FQL&gt;&lt;Q&gt;AQUA-RU^FE_TIMESERIES(MINTEREST,MEAN,2016,2025,FY,'BKRACTMED=1,WIN=0,UNITS=AUTO,DATE=NOW')&lt;/Q&gt;&lt;R&gt;10&lt;/R&gt;&lt;C&gt;1&lt;/C&gt;&lt;D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xsi:type="xsd:double"&gt;0&lt;/D&gt;&lt;D xsi:type="xsd:double"&gt;0&lt;/D&gt;&lt;D xsi:type="xsd:double"&gt;0&lt;/D&gt;&lt;D xsi:type="xsd:double"&gt;0&lt;/D&gt;&lt;D xsi:type="xsd:string"&gt;@NA&lt;/D&gt;&lt;D xsi:type="xsd:string"&gt;@NA&lt;/D&gt;&lt;/FQL&gt;&lt;FQL&gt;&lt;Q&gt;AQUA-RU^FE_TIMESERIES(SHEQUITY,MEAN,2016,2025,FY,'BKRACTMED=1,WIN=0,UNITS=AUTO,DATE=NOW')&lt;/Q&gt;&lt;R&gt;10&lt;/R&gt;&lt;C&gt;1&lt;/C&gt;&lt;D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xsi:type="xsd:double"&gt;11726&lt;/D&gt;&lt;D xsi:type="xsd:double"&gt;14368&lt;/D&gt;&lt;D xsi:type="xsd:double"&gt;18088&lt;/D&gt;&lt;D xsi:type="xsd:double"&gt;23232&lt;/D&gt;&lt;D xsi:type="xsd:string"&gt;@NA&lt;/D&gt;&lt;D xsi:type="xsd:string"&gt;@NA&lt;/D&gt;&lt;/FQL&gt;&lt;FQL&gt;&lt;Q&gt;AQUA-RU^PROPER(CONVERT_DATE(FE_TIMESERIES_PERIOD(,2016,2026,FY,'DISPLAY=YYYYMMDD'),"MMM 'YY"))&lt;/Q&gt;&lt;R&gt;11&lt;/R&gt;&lt;C&gt;1&lt;/C&gt;&lt;D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'25&lt;/D&gt;&lt;D xsi:type="xsd:string"&gt;Dec '26&lt;/D&gt;&lt;/FQL&gt;&lt;FQL&gt;&lt;Q&gt;AQUA-RU^FE_TIMESERIES(EPS,MEAN,2016,2026,FY,'BKRACTMED=1,WIN=0,UNITS=AUTO,DATE=NOW')&lt;/Q&gt;&lt;R&gt;11&lt;/R&gt;&lt;C&gt;1&lt;/C&gt;&lt;D xsi:type="xsd:string"&gt;@NA&lt;/D&gt;&lt;D xsi:type="xsd:string"&gt;@NA&lt;/D&gt;&lt;D xsi:type="xsd:string"&gt;@NA&lt;/D&gt;&lt;D xsi:type="xsd:string"&gt;@NA&lt;/D&gt;&lt;D xsi:type="xsd:double"&gt;38.8&lt;/D&gt;&lt;D xsi:type="xsd:double"&gt;50.2&lt;/D&gt;&lt;D xsi:type="xsd:double"&gt;62.3&lt;/D&gt;&lt;D xsi:type="xsd:double"&gt;80.1&lt;/D&gt;&lt;D xsi:type="xsd:string"&gt;@NA&lt;/D&gt;&lt;D xsi:type="xsd:string"&gt;@NA&lt;/D&gt;&lt;D xsi:type="xsd:string"&gt;@NA&lt;/D&gt;&lt;/FQL&gt;&lt;FQL&gt;&lt;Q&gt;AQUA-RU^FE_TIMESERIES(NETDIV,MEAN,2016,2026,FY,'BKRACTMED=1,WIN=0,UNITS=AUTO,DATE=NOW')&lt;/Q&gt;&lt;R&gt;11&lt;/R&gt;&lt;C&gt;1&lt;/C&gt;&lt;D xsi:type="xsd:string"&gt;@NA&lt;/D&gt;&lt;D xsi:type="xsd:string"&gt;@NA&lt;/D&gt;&lt;D xsi:type="xsd:string"&gt;@NA&lt;/D&gt;&lt;D xsi:type="xsd:string"&gt;@NA&lt;/D&gt;&lt;D xsi:type="xsd:double"&gt;5.1&lt;/D&gt;&lt;D xsi:type="xsd:double"&gt;17.6&lt;/D&gt;&lt;D xsi:type="xsd:double"&gt;18.7&lt;/D&gt;&lt;D xsi:type="xsd:double"&gt;19.9&lt;/D&gt;&lt;D xsi:type="xsd:string"&gt;@NA&lt;/D&gt;&lt;D xsi:type="xsd:string"&gt;@NA&lt;/D&gt;&lt;D xsi:type="xsd:string"&gt;@NA&lt;/D&gt;&lt;/FQL&gt;&lt;FQL&gt;&lt;Q&gt;AQUA-RU^FE_TIMESERIES_VALUATION(PE,MEAN,2016,2026,FY,'BKRACTMED=1,WIN=0,UNITS=AUTO,DATE=NOW')&lt;/Q&gt;&lt;R&gt;11&lt;/R&gt;&lt;C&gt;1&lt;/C&gt;&lt;D xsi:type="xsd:string"&gt;@NA&lt;/D&gt;&lt;D xsi:type="xsd:string"&gt;@NA&lt;/D&gt;&lt;D xsi:type="xsd:string"&gt;@NA&lt;/D&gt;&lt;D xsi:type="xsd:string"&gt;@NA&lt;/D&gt;&lt;D xsi:type="xsd:double"&gt;6.739691&lt;/D&gt;&lt;D xsi:type="xsd:double"&gt;9.35259&lt;/D&gt;&lt;D xsi:type="xsd:double"&gt;7.5361156&lt;/D&gt;&lt;D xsi:type="xsd:double"&gt;5.8614235&lt;/D&gt;&lt;D xsi:type="xsd:string"&gt;@NA&lt;/D&gt;&lt;D xsi:type="xsd:string"&gt;@NA&lt;/D&gt;&lt;D xsi:type="xsd:string"&gt;@NA&lt;/D&gt;&lt;/FQL&gt;&lt;FQL&gt;&lt;Q&gt;AQUA-RU^FE_TIMESERIES_VALUATION(P_SALESPS,MEAN,2016,2026,FY,'BKRACTMED=1,WIN=0,UNITS=AUTO,DATE=NOW')&lt;/Q&gt;&lt;R&gt;11&lt;/R&gt;&lt;C&gt;1&lt;/C&gt;&lt;D xsi:type="xsd:string"&gt;@NA&lt;/D&gt;&lt;D xsi:type="xsd:string"&gt;@NA&lt;/D&gt;&lt;D xsi:type="xsd:string"&gt;@NA&lt;/D&gt;&lt;D xsi:type="xsd:string"&gt;@NA&lt;/D&gt;&lt;D xsi:type="xsd:double"&gt;2.756687&lt;/D&gt;&lt;D xsi:type="xsd:double"&gt;3.0155013&lt;/D&gt;&lt;D xsi:type="xsd:double"&gt;2.7540276&lt;/D&gt;&lt;D xsi:type="xsd:double"&gt;2.3985865&lt;/D&gt;&lt;D xsi:type="xsd:string"&gt;@NA&lt;/D&gt;&lt;D xsi:type="xsd:string"&gt;@NA&lt;/D&gt;&lt;D xsi:type="xsd:string"&gt;@NA&lt;/D&gt;&lt;/FQL&gt;&lt;FQL&gt;&lt;Q&gt;AQUA-RU^FE_TIMESERIES_VALUATION(FFEV_SALES,MEAN,2016,2026,FY,'BKRACTMED=1,WIN=0,UNITS=AUTO,DATE=NOW')&lt;/Q&gt;&lt;R&gt;11&lt;/R&gt;&lt;C&gt;1&lt;/C&gt;&lt;D xsi:type="xsd:string"&gt;@NA&lt;/D&gt;&lt;D xsi:type="xsd:string"&gt;@NA&lt;/D&gt;&lt;D xsi:type="xsd:string"&gt;@NA&lt;/D&gt;&lt;D xsi:type="xsd:string"&gt;@NA&lt;/D&gt;&lt;D xsi:type="xsd:double"&gt;3.1011012&lt;/D&gt;&lt;D xsi:type="xsd:double"&gt;3.4522114&lt;/D&gt;&lt;D xsi:type="xsd:double"&gt;3.1528707&lt;/D&gt;&lt;D xsi:type="xsd:double"&gt;2.745954&lt;/D&gt;&lt;D xsi:type="xsd:string"&gt;@NA&lt;/D&gt;&lt;D xsi:type="xsd:string"&gt;@NA&lt;/D&gt;&lt;D xsi:type="xsd:string"&gt;@NA&lt;/D&gt;&lt;/FQL&gt;&lt;FQL&gt;&lt;Q&gt;AQUA-RU^FE_TIMESERIES_VALUATION(FFEV_EBITDA,MEAN,2016,2026,FY,'BKRACTMED=1,WIN=0,UNITS=AUTO,DATE=NOW')&lt;/Q&gt;&lt;R&gt;11&lt;/R&gt;&lt;C&gt;1&lt;/C&gt;&lt;D xsi:type="xsd:string"&gt;@NA&lt;/D&gt;&lt;D xsi:type="xsd:string"&gt;@NA&lt;/D&gt;&lt;D xsi:type="xsd:string"&gt;@NA&lt;/D&gt;&lt;D xsi:type="xsd:string"&gt;@NA&lt;/D&gt;&lt;D xsi:type="xsd:double"&gt;7.65949&lt;/D&gt;&lt;D xsi:type="xsd:double"&gt;9.613914&lt;/D&gt;&lt;D xsi:type="xsd:double"&gt;8.499758&lt;/D&gt;&lt;D xsi:type="xsd:double"&gt;7.1037984&lt;/D&gt;&lt;D xsi:type="xsd:string"&gt;@NA&lt;/D&gt;&lt;D xsi:type="xsd:string"&gt;@NA&lt;/D&gt;&lt;D xsi:type="xsd:string"&gt;@NA&lt;/D&gt;&lt;/FQL&gt;&lt;FQL&gt;&lt;Q&gt;AQUA-RU^FE_TIMESERIES_VALUATION(FFEV_EBIT,MEAN,2016,2026,FY,'BKRACTMED=1,WIN=0,UNITS=AUTO,DATE=NOW')&lt;/Q&gt;&lt;R&gt;11&lt;/R&gt;&lt;C&gt;1&lt;/C&gt;&lt;D xsi:type="xsd:string"&gt;@NA&lt;/D&gt;&lt;D xsi:type="xsd:string"&gt;@NA&lt;/D&gt;&lt;D xsi:type="xsd:string"&gt;@NA&lt;/D&gt;&lt;D xsi:type="xsd:string"&gt;@NA&lt;/D&gt;&lt;D xsi:type="xsd:double"&gt;7.7304964&lt;/D&gt;&lt;D xsi:type="xsd:double"&gt;9.943822&lt;/D&gt;&lt;D xsi:type="xsd:double"&gt;8.080951&lt;/D&gt;&lt;D xsi:type="xsd:double"&gt;6.3992896&lt;/D&gt;&lt;D xsi:type="xsd:string"&gt;@NA&lt;/D&gt;&lt;D xsi:type="xsd:string"&gt;@NA&lt;/D&gt;&lt;D xsi:type="xsd:string"&gt;@NA&lt;/D&gt;&lt;/FQL&gt;&lt;FQL&gt;&lt;Q&gt;AQUA-RU^FE_TIMESERIES_VALUATION(DIV_YLD,MEAN,2016,2026,FY,'BKRACTMED=1,WIN=0,UNITS=AUTO,DATE=NOW')&lt;/Q&gt;&lt;R&gt;11&lt;/R&gt;&lt;C&gt;1&lt;/C&gt;&lt;D xsi:type="xsd:string"&gt;@NA&lt;/D&gt;&lt;D xsi:type="xsd:string"&gt;@NA&lt;/D&gt;&lt;D xsi:type="xsd:string"&gt;@NA&lt;/D&gt;&lt;D xsi:type="xsd:string"&gt;@NA&lt;/D&gt;&lt;D xsi:type="xsd:double"&gt;1.9502869&lt;/D&gt;&lt;D xsi:type="xsd:double"&gt;3.748669&lt;/D&gt;&lt;D xsi:type="xsd:double"&gt;3.982961&lt;/D&gt;&lt;D xsi:type="xsd:double"&gt;4.2385516&lt;/D&gt;&lt;D xsi:type="xsd:string"&gt;@NA&lt;/D&gt;&lt;D xsi:type="xsd:string"&gt;@NA&lt;/D&gt;&lt;D xsi:type="xsd:string"&gt;@NA&lt;/D&gt;&lt;/FQL&gt;&lt;FQL&gt;&lt;Q&gt;AQUA-RU^FE_TIMESERIES_VALUATION(SPS,MEAN,2016,2026,FY,'BKRACTMED=1,WIN=0,UNITS=AUTO,DATE=NOW')&lt;/Q&gt;&lt;R&gt;11&lt;/R&gt;&lt;C&gt;1&lt;/C&gt;&lt;D xsi:type="xsd:string"&gt;@NA&lt;/D&gt;&lt;D xsi:type="xsd:string"&gt;@NA&lt;/D&gt;&lt;D xsi:type="xsd:string"&gt;@NA&lt;/D&gt;&lt;D xsi:type="xsd:string"&gt;@NA&lt;/D&gt;&lt;D xsi:type="xsd:double"&gt;94.860245&lt;/D&gt;&lt;D xsi:type="xsd:double"&gt;155.69551&lt;/D&gt;&lt;D xsi:type="xsd:double"&gt;170.4776&lt;/D&gt;&lt;D xsi:type="xsd:double"&gt;195.74028&lt;/D&gt;&lt;D xsi:type="xsd:string"&gt;@NA&lt;/D&gt;&lt;D xsi:type="xsd:string"&gt;@NA&lt;/D&gt;&lt;D xsi:type="xsd:string"&gt;@NA&lt;/D&gt;&lt;/FQL&gt;&lt;FQL&gt;&lt;Q&gt;AQUA-RU^FE_TIMESERIES_VALUATION(ROA,MEAN,2016,2026,FY,'BKRACTMED=1,WIN=0,UNITS=AUTO,DATE=NOW')&lt;/Q&gt;&lt;R&gt;11&lt;/R&gt;&lt;C&gt;1&lt;/C&gt;&lt;D xsi:type="xsd:string"&gt;@NA&lt;/D&gt;&lt;D xsi:type="xsd:string"&gt;@NA&lt;/D&gt;&lt;D xsi:type="xsd:string"&gt;@NA&lt;/D&gt;&lt;D xsi:type="xsd:string"&gt;@NA&lt;/D&gt;&lt;D xsi:type="xsd:double"&gt;15.711906&lt;/D&gt;&lt;D xsi:type="xsd:double"&gt;17.377394&lt;/D&gt;&lt;D xsi:type="xsd:double"&gt;18.667322&lt;/D&gt;&lt;D xsi:type="xsd:double"&gt;20.27131&lt;/D&gt;&lt;D xsi:type="xsd:string"&gt;@NA&lt;/D&gt;&lt;D xsi:type="xsd:string"&gt;@NA&lt;/D&gt;&lt;D xsi:type="xsd:string"&gt;@NA&lt;/D&gt;&lt;/FQL&gt;&lt;/Schema&gt;</t>
        </r>
      </text>
    </comment>
  </commentList>
</comments>
</file>

<file path=xl/sharedStrings.xml><?xml version="1.0" encoding="utf-8"?>
<sst xmlns="http://schemas.openxmlformats.org/spreadsheetml/2006/main" count="1127" uniqueCount="477">
  <si>
    <t>Other Operating Expense</t>
  </si>
  <si>
    <t>Interest Expense</t>
  </si>
  <si>
    <t>Inventories</t>
  </si>
  <si>
    <t>Goodwill</t>
  </si>
  <si>
    <t>Total Assets</t>
  </si>
  <si>
    <t>Total Equity</t>
  </si>
  <si>
    <t>Net Change in Cash</t>
  </si>
  <si>
    <t>Cost of Sales</t>
  </si>
  <si>
    <t>This sheet contains FactSet XML data for use with this workbook's =FDS codes.  Modifying the worksheet's contents may damage the workbook's =FDS functionality.</t>
  </si>
  <si>
    <t>Consolidated Balance Sheet</t>
  </si>
  <si>
    <t>In 000 RUB</t>
  </si>
  <si>
    <t>PPE</t>
  </si>
  <si>
    <t>Right to Use Assets</t>
  </si>
  <si>
    <t>Restricted Cash</t>
  </si>
  <si>
    <t>Investment in Associates</t>
  </si>
  <si>
    <t>Intangibles</t>
  </si>
  <si>
    <t>DTA</t>
  </si>
  <si>
    <t>LTI</t>
  </si>
  <si>
    <t>Trade Receivables</t>
  </si>
  <si>
    <t>VAT</t>
  </si>
  <si>
    <t>Advances to Supplier</t>
  </si>
  <si>
    <t>STI</t>
  </si>
  <si>
    <t>Cash Equivalent</t>
  </si>
  <si>
    <t>STD</t>
  </si>
  <si>
    <t>ST Lease</t>
  </si>
  <si>
    <t>Trade Payable</t>
  </si>
  <si>
    <t>Others</t>
  </si>
  <si>
    <t>LT Lease</t>
  </si>
  <si>
    <t>DTL</t>
  </si>
  <si>
    <t>Diff</t>
  </si>
  <si>
    <t>P&amp;L</t>
  </si>
  <si>
    <t>Revenue</t>
  </si>
  <si>
    <t>Gross Profit</t>
  </si>
  <si>
    <t>Profit on revaluation of bio assets</t>
  </si>
  <si>
    <t>Admin Expense</t>
  </si>
  <si>
    <t>Profit from participation</t>
  </si>
  <si>
    <t>Other Operating Income</t>
  </si>
  <si>
    <t>Interest Income</t>
  </si>
  <si>
    <t>Pre-Tax Profit</t>
  </si>
  <si>
    <t>Gross Profit Inc Valuation</t>
  </si>
  <si>
    <t>Taxes</t>
  </si>
  <si>
    <t>Cashflow Statement</t>
  </si>
  <si>
    <t>Pre tax Profit</t>
  </si>
  <si>
    <t>Adjustments</t>
  </si>
  <si>
    <t xml:space="preserve">  Int inc</t>
  </si>
  <si>
    <t xml:space="preserve">  Int exp</t>
  </si>
  <si>
    <t>OCF before Working Capital Changes</t>
  </si>
  <si>
    <t xml:space="preserve"> </t>
  </si>
  <si>
    <t>WC Changes</t>
  </si>
  <si>
    <t xml:space="preserve">  Inc. in bio assets</t>
  </si>
  <si>
    <t xml:space="preserve"> Inc. in VAT recoverable</t>
  </si>
  <si>
    <t xml:space="preserve"> Inc in advances to supplier</t>
  </si>
  <si>
    <t>Income tax paid</t>
  </si>
  <si>
    <t>int. received</t>
  </si>
  <si>
    <t>subsidies received</t>
  </si>
  <si>
    <t>interest paid</t>
  </si>
  <si>
    <t>Net Operating Cashflow</t>
  </si>
  <si>
    <t>Purchase of PPE</t>
  </si>
  <si>
    <t>Disposal of PPE</t>
  </si>
  <si>
    <t>Loans issued</t>
  </si>
  <si>
    <t>Loans repaid</t>
  </si>
  <si>
    <t>Net Investment Cashflow</t>
  </si>
  <si>
    <t>Purchase of treasury stock</t>
  </si>
  <si>
    <t>Payment to shareholders</t>
  </si>
  <si>
    <t>Dividends</t>
  </si>
  <si>
    <t>Return og guarantee deposit</t>
  </si>
  <si>
    <t>Restriction of cash for deposits</t>
  </si>
  <si>
    <t>repayment of lease</t>
  </si>
  <si>
    <t>Net Financial Cashflows</t>
  </si>
  <si>
    <t>Fx</t>
  </si>
  <si>
    <t>Cash equivalent EoY</t>
  </si>
  <si>
    <t xml:space="preserve"> Inc in trade receivable</t>
  </si>
  <si>
    <t>FCF</t>
  </si>
  <si>
    <t>Cash equivalent BoY</t>
  </si>
  <si>
    <t>Gross PPE</t>
  </si>
  <si>
    <t>Acc Depr</t>
  </si>
  <si>
    <t xml:space="preserve">  Salmon</t>
  </si>
  <si>
    <t xml:space="preserve">  Trout</t>
  </si>
  <si>
    <t xml:space="preserve">  Caviar</t>
  </si>
  <si>
    <t xml:space="preserve">  Other</t>
  </si>
  <si>
    <t xml:space="preserve">  Raw Material</t>
  </si>
  <si>
    <t xml:space="preserve">  O/Heads</t>
  </si>
  <si>
    <t xml:space="preserve">  Payroll</t>
  </si>
  <si>
    <t xml:space="preserve">  stock recount bio assets</t>
  </si>
  <si>
    <t xml:space="preserve">  others</t>
  </si>
  <si>
    <t xml:space="preserve"> Others</t>
  </si>
  <si>
    <t>Adjusted EBITDA</t>
  </si>
  <si>
    <t>Non-current assets</t>
  </si>
  <si>
    <t>Current assets</t>
  </si>
  <si>
    <t>1H 2017</t>
  </si>
  <si>
    <t>1H 2018</t>
  </si>
  <si>
    <t>1H 2019</t>
  </si>
  <si>
    <t>Current liabilities</t>
  </si>
  <si>
    <t>Long-term liabilities</t>
  </si>
  <si>
    <t>Total liabilities</t>
  </si>
  <si>
    <t>Total Equity and liabilities</t>
  </si>
  <si>
    <t>Operating metrics</t>
  </si>
  <si>
    <t>Sales Volume, tonnes</t>
  </si>
  <si>
    <t>Biomass, End of Period, tonnes</t>
  </si>
  <si>
    <t>1H 2016</t>
  </si>
  <si>
    <t>Share Capital</t>
  </si>
  <si>
    <t>Share premium</t>
  </si>
  <si>
    <t>Retained Earnings/accumulated deficit</t>
  </si>
  <si>
    <t>Advances from customers</t>
  </si>
  <si>
    <t>Revaluation profit (+)/gain (-) on finished products</t>
  </si>
  <si>
    <t>FX loss (-)/gain (+)</t>
  </si>
  <si>
    <t xml:space="preserve">  Biological assets revaluation in cost of sales</t>
  </si>
  <si>
    <t xml:space="preserve">  biological assets revaluation in other operating expense</t>
  </si>
  <si>
    <t>Net interest expense</t>
  </si>
  <si>
    <t>Net revaluation effect</t>
  </si>
  <si>
    <t>Option-based premiums</t>
  </si>
  <si>
    <t>D&amp;A</t>
  </si>
  <si>
    <t xml:space="preserve">  Inc in inventory*</t>
  </si>
  <si>
    <t>*Untill 2018 includes change in biological assets</t>
  </si>
  <si>
    <t>Advances given on PPE purposes</t>
  </si>
  <si>
    <t>Treasury shares</t>
  </si>
  <si>
    <t>Translation reserve</t>
  </si>
  <si>
    <t xml:space="preserve">  Accounts receivable write-off/change in impairment allownce on accounts receivable</t>
  </si>
  <si>
    <t xml:space="preserve"> Inc. in Other payables</t>
  </si>
  <si>
    <t xml:space="preserve"> Inc. in advances received from customers</t>
  </si>
  <si>
    <t xml:space="preserve"> Inc. in accounts payable</t>
  </si>
  <si>
    <t>Purchase of Intangibles</t>
  </si>
  <si>
    <t>Proceed from sale of treasury</t>
  </si>
  <si>
    <t xml:space="preserve">  Revaluation effect</t>
  </si>
  <si>
    <t>Biological assets</t>
  </si>
  <si>
    <t xml:space="preserve">  Cost excl. revaluation effect</t>
  </si>
  <si>
    <t>Other NCA</t>
  </si>
  <si>
    <t>1H 2020</t>
  </si>
  <si>
    <t>1H 2021</t>
  </si>
  <si>
    <t>Paid-in capital</t>
  </si>
  <si>
    <t>GP margin</t>
  </si>
  <si>
    <t>Net profit margin</t>
  </si>
  <si>
    <t>AR turnover ratio</t>
  </si>
  <si>
    <t>AP turnover ratio</t>
  </si>
  <si>
    <t>Net Debt</t>
  </si>
  <si>
    <t>Average Equity excl FV adj</t>
  </si>
  <si>
    <t>Average Net debt</t>
  </si>
  <si>
    <t>Average Capital Employed</t>
  </si>
  <si>
    <t>ROCE</t>
  </si>
  <si>
    <t>ROE</t>
  </si>
  <si>
    <t>Assets Held for Sale</t>
  </si>
  <si>
    <t>Other Payable</t>
  </si>
  <si>
    <t>Liabilities related to Assets Held for Sale</t>
  </si>
  <si>
    <t>Income from bill of credit</t>
  </si>
  <si>
    <t>VAT Payable and other payables</t>
  </si>
  <si>
    <t xml:space="preserve">Payable for Subsidiary </t>
  </si>
  <si>
    <t>Additional Information</t>
  </si>
  <si>
    <t>Average price, kg</t>
  </si>
  <si>
    <t>Company</t>
  </si>
  <si>
    <t>R_AQUA</t>
  </si>
  <si>
    <t>SalMar Cent. Norw.</t>
  </si>
  <si>
    <t>SalMar North. Nor.</t>
  </si>
  <si>
    <t>Mowi Ireland</t>
  </si>
  <si>
    <t>Bakkafrost Faroes</t>
  </si>
  <si>
    <t>Grieg BC (BC Canada)</t>
  </si>
  <si>
    <t>Mowi Faroes</t>
  </si>
  <si>
    <t>Mowi Scotland</t>
  </si>
  <si>
    <t>Mowi Norway</t>
  </si>
  <si>
    <t>Leroy Midt</t>
  </si>
  <si>
    <t>Norskott Havbruk</t>
  </si>
  <si>
    <t>NRS North</t>
  </si>
  <si>
    <t>Arctic Fish Iceland</t>
  </si>
  <si>
    <t>Grieg Rogaland</t>
  </si>
  <si>
    <t>Leroy Aurora</t>
  </si>
  <si>
    <t>Leroy Sjotroll</t>
  </si>
  <si>
    <t>Icelandic Salmon</t>
  </si>
  <si>
    <t xml:space="preserve">Mowi Chile </t>
  </si>
  <si>
    <t>Grieg BC (Finnmark)</t>
  </si>
  <si>
    <t>Bakkafrost Scotland</t>
  </si>
  <si>
    <t>Mowi Canada</t>
  </si>
  <si>
    <t>Mowi</t>
  </si>
  <si>
    <t>Bakkafrost</t>
  </si>
  <si>
    <t xml:space="preserve">Multiexport </t>
  </si>
  <si>
    <t>Camanchanca</t>
  </si>
  <si>
    <t>Arnarlax</t>
  </si>
  <si>
    <t>Salmar</t>
  </si>
  <si>
    <t>Leroy</t>
  </si>
  <si>
    <t>NRS</t>
  </si>
  <si>
    <t>Grieg</t>
  </si>
  <si>
    <t>SalMar Central Norway</t>
  </si>
  <si>
    <t>SalMar Northern Norway</t>
  </si>
  <si>
    <t>NRS South</t>
  </si>
  <si>
    <t xml:space="preserve">  Biological assets revaluation in cost of sales [1]</t>
  </si>
  <si>
    <t>Selling Expense (-)/income (+) [2]</t>
  </si>
  <si>
    <t>[1] starting 2019, biological assets revaluation in cost of sales is shown as a net in profit on revaluation of bio assets</t>
  </si>
  <si>
    <t>[2] strating 2019, this line also includes labor costs, previously shown in admin expense</t>
  </si>
  <si>
    <t>Reorganization effect</t>
  </si>
  <si>
    <t>LTD</t>
  </si>
  <si>
    <t>PrePaid Income Tax</t>
  </si>
  <si>
    <t>Dividends payable</t>
  </si>
  <si>
    <t xml:space="preserve">  D&amp;A</t>
  </si>
  <si>
    <t>Adjusted EBITDA for 2016 is calculated excluding results from discontinued operations</t>
  </si>
  <si>
    <t>insurance reimbursment</t>
  </si>
  <si>
    <t xml:space="preserve">  losses on bio assets and stock counts losses</t>
  </si>
  <si>
    <t>Adjusted EBITDA margin</t>
  </si>
  <si>
    <t>Adjusted EBIT margin</t>
  </si>
  <si>
    <t>Inventory&amp;Biological assets turnover ratio</t>
  </si>
  <si>
    <t>Margin coefficients:</t>
  </si>
  <si>
    <t>Turnover coefficients:</t>
  </si>
  <si>
    <t>Assets&amp;Capital efficiency coefficients:</t>
  </si>
  <si>
    <t>Average Equity</t>
  </si>
  <si>
    <t>Adjusted EBIT LTM</t>
  </si>
  <si>
    <t>Operating Cashflow</t>
  </si>
  <si>
    <t>Dividends received</t>
  </si>
  <si>
    <t>Repayment of borrowing</t>
  </si>
  <si>
    <t>Cash inflows from borrowing</t>
  </si>
  <si>
    <t>Effect of discontinued operations</t>
  </si>
  <si>
    <t>Income from (+)/Payment for (-) Subsidiaries and associates</t>
  </si>
  <si>
    <t xml:space="preserve">  Subsidies</t>
  </si>
  <si>
    <t xml:space="preserve">  FX</t>
  </si>
  <si>
    <t xml:space="preserve">  Loss on disposal of PPE</t>
  </si>
  <si>
    <t xml:space="preserve">  Profit from Participation</t>
  </si>
  <si>
    <t xml:space="preserve">  Livestock bioassets count/write-off bioassets</t>
  </si>
  <si>
    <t xml:space="preserve">  Change in impairment allownce on advances given</t>
  </si>
  <si>
    <t xml:space="preserve">  Share based pmt</t>
  </si>
  <si>
    <t xml:space="preserve">  Revaluation of finished goods</t>
  </si>
  <si>
    <t xml:space="preserve">  Profit from Reval of Bio assets</t>
  </si>
  <si>
    <t xml:space="preserve">  Other non cash adjustements</t>
  </si>
  <si>
    <t>Proceed from sale of new issue (net of costs)</t>
  </si>
  <si>
    <t xml:space="preserve">  Inventory count/write-off inventory</t>
  </si>
  <si>
    <t>Номенклатура, Базовая единица измерения</t>
  </si>
  <si>
    <t>Сумма продажи в руб</t>
  </si>
  <si>
    <t>Сумма продажи без скидок в руб</t>
  </si>
  <si>
    <t>Количество (в базовых единицах)</t>
  </si>
  <si>
    <t>Сумма скидки в руб</t>
  </si>
  <si>
    <t>% скидки</t>
  </si>
  <si>
    <t>Аренда машиномест, шт</t>
  </si>
  <si>
    <t>Аренда офиса, м2</t>
  </si>
  <si>
    <t>Бензин Аи-95, л</t>
  </si>
  <si>
    <t>Бух.брошюры Вкладыш к трудовой книжке, шт</t>
  </si>
  <si>
    <t>Бух.брошюры Трудовая книжка, шт</t>
  </si>
  <si>
    <t>Бухгалтерские услуги, шт</t>
  </si>
  <si>
    <t>Вкладыш в трудовую книжку, шт</t>
  </si>
  <si>
    <t>Икра лососевая зернистая из форели с консервантом  , кг</t>
  </si>
  <si>
    <t>Лосось атл.(семга) ГП 0-1 Ord с/м с/г , кг</t>
  </si>
  <si>
    <t>Лосось атл.(семга) ГП 1-2 Ord с/м с/г , кг</t>
  </si>
  <si>
    <t>Лосось атл.(семга) ГП 1-2 Sup охл с/г, кг</t>
  </si>
  <si>
    <t>Лосось атл.(семга) ГП 1-2 Sup с/м с/г , кг</t>
  </si>
  <si>
    <t>Лосось атлантический (семга) готовая продукция 0-1 Ord с/м с/г , кг</t>
  </si>
  <si>
    <t>Лосось атлантический (семга) готовая продукция 0-1 Sup с/м с/г , кг</t>
  </si>
  <si>
    <t>Лосось атлантический (семга) готовая продукция 0,5-1 Sup с/м с/г (Титовка-1), кг</t>
  </si>
  <si>
    <t>Лосось атлантический (семга) готовая продукция 0,7-1,5 Ord с/м с/г , кг</t>
  </si>
  <si>
    <t>Лосось атлантический (семга) готовая продукция 1-2 Sup с/м с/г , кг</t>
  </si>
  <si>
    <t>Лосось атлантический (семга) готовая продукция 2-3 Sup с/м с/г , кг</t>
  </si>
  <si>
    <t>Лосось атлантический (семга) готовая продукция 3-4 Sup с/м с/г , кг</t>
  </si>
  <si>
    <t>Лосось атлантический (семга) готовая продукция 4-5 Sup с/м с/г , кг</t>
  </si>
  <si>
    <t>Лосось атлантический (семга) готовая продукция Ind с/м с/г , кг</t>
  </si>
  <si>
    <t>Лосось атлантический (семга) охл.  готовая продукция 1,5 - 2 Sup с/г , кг</t>
  </si>
  <si>
    <t>Лосось атлантический (семга) охл. готовая продукция   0,7-1,5 Sup с/г , кг</t>
  </si>
  <si>
    <t>Лосось атлантический (семга) охл. готовая продукция 0,7-1,5 Ord с/г , кг</t>
  </si>
  <si>
    <t>Передача полномочий единоличного исполнительного органа управляющей организации, шт</t>
  </si>
  <si>
    <t>Подбор персонала и ведение кадрового делопроизводства, шт</t>
  </si>
  <si>
    <t>Рыбий жир, кг</t>
  </si>
  <si>
    <t>Снегоход Ямаха бу,разобранный VIN JYE8JE001EA008312, шт</t>
  </si>
  <si>
    <t>Услуги  почтово-секретарского обслуживания, шт</t>
  </si>
  <si>
    <t>Услуги в области ИТ технологий, шт</t>
  </si>
  <si>
    <t>Услуги в области стратегического планирования и привлечения инвестиций, шт</t>
  </si>
  <si>
    <t>Форель 1-2 потрошеная с/г, с/м, кг</t>
  </si>
  <si>
    <t>Форель охл. потр. 0-1 с/г, кг</t>
  </si>
  <si>
    <t>Форель охл. потр. 1-2 с/г, кг</t>
  </si>
  <si>
    <t>Форель охл. потр. ORD, кг</t>
  </si>
  <si>
    <t>ъЮридические услуги, шт</t>
  </si>
  <si>
    <t>Ястык форели, кг</t>
  </si>
  <si>
    <t>Ящик для транспортировки рыбы, шт</t>
  </si>
  <si>
    <t>Итог</t>
  </si>
  <si>
    <t>Адаптер к решетке 4VA (Ф200), шт</t>
  </si>
  <si>
    <t>Аренда оборудования, транспорта, Услуга</t>
  </si>
  <si>
    <t>Воздуховод Airone A 160-10м, шт</t>
  </si>
  <si>
    <t>Воздуховод ISO-A 200 10м, шт</t>
  </si>
  <si>
    <t>Диффозор 4VA 600*600, шт</t>
  </si>
  <si>
    <t>корпус снегохода Polaris Widetrak LX.vin SNISU4BEGAC847440, шт</t>
  </si>
  <si>
    <t>Лом черных металлов 12А, т</t>
  </si>
  <si>
    <t>Лом черных металлов 5А, т</t>
  </si>
  <si>
    <t>Лосось атл.(семга) ГП 0-1 Ord охл. с/г, кг</t>
  </si>
  <si>
    <t>Лосось атл.(семга) ГП 0-3 Ind охл с/г, кг</t>
  </si>
  <si>
    <t>Лосось атл.(семга) ГП 1-2 Ord охл с/г, кг</t>
  </si>
  <si>
    <t>Лосось атл.(семга) ГП 2-3 Ord охл с/г, кг</t>
  </si>
  <si>
    <t>Лосось атл.(семга) ГП 2-3 Ord с/м с/г , кг</t>
  </si>
  <si>
    <t>Лосось атл.(семга) ГП 2-3 Sup охл с/г, кг</t>
  </si>
  <si>
    <t>Лосось атл.(семга) ГП 2-3 Sup с/м с/г , кг</t>
  </si>
  <si>
    <t>Лосось атл.(семга) ГП 3-4 Ord охл с/г, кг</t>
  </si>
  <si>
    <t>Лосось атл.(семга) ГП 3-4 Ord с/м с/г , кг</t>
  </si>
  <si>
    <t>Лосось атл.(семга) ГП 3-4 Sup охл. с/г, кг</t>
  </si>
  <si>
    <t>Лосось атл.(семга) ГП 3-4 Sup с/м с/г , кг</t>
  </si>
  <si>
    <t>Лосось атл.(семга) ГП 4-5 Ord охл. с/г, кг</t>
  </si>
  <si>
    <t>Лосось атл.(семга) ГП 4-5 Sup охл. с/г, кг</t>
  </si>
  <si>
    <t>Лосось атл.(семга) ГП 4-5 Sup с/м с/г , кг</t>
  </si>
  <si>
    <t>Лосось атл.(семга) ГП 5-6 Ord охл с/г, кг</t>
  </si>
  <si>
    <t>Лосось атл.(семга) ГП 5-6 Sup охл. с/г, кг</t>
  </si>
  <si>
    <t>Лосось атл.(семга) ГП 5-6 Sup с/м с/г , кг</t>
  </si>
  <si>
    <t>Лосось атл.(семга) ГП 6-7 Ord охл с/г, кг</t>
  </si>
  <si>
    <t>Лосось атл.(семга) ГП 6-7 Sup охл с/г, кг</t>
  </si>
  <si>
    <t>Лосось атл.(семга) ГП 7-8 Ord охл с/г, кг</t>
  </si>
  <si>
    <t>Лосось атл.(семга) ГП 7-8 Sup охл с/г, кг</t>
  </si>
  <si>
    <t>Лосось атл.(семга) ГП 7-8 Sup с/м с/г, кг</t>
  </si>
  <si>
    <t>Лосось атл.(семга) ГП 8-9 Sup охл с/г, кг</t>
  </si>
  <si>
    <t>Лосось атлантический (семга) готовая продукция охл. не потр., кг</t>
  </si>
  <si>
    <t>Лосось атлантический (семга) охл. готовая продукция 0-1 Sup с/г, кг</t>
  </si>
  <si>
    <t>Лосось атлантический (семга) охл. готовая продукция 0,7-1,5 Ind с/г, кг</t>
  </si>
  <si>
    <t>Лосось атлантический (семга) охл. готовая продукция 2-3 Ind с/г, кг</t>
  </si>
  <si>
    <t>Лосось атлантический (семга) охл. готовая продукция 3-4 Ind с/г, кг</t>
  </si>
  <si>
    <t>Ноутбук HP ProBook 440G3 14" (Core i5 6200U.8Gb,1Tb,W4N90EA), шт</t>
  </si>
  <si>
    <t>Ноутбук HP ProBook 640 G2 14.0 Intel Core Intel Core i5 6200U 4.0Gb, шт</t>
  </si>
  <si>
    <t>Прочие услуги, Услуга</t>
  </si>
  <si>
    <t>Редуктор 200/160, шт</t>
  </si>
  <si>
    <t>Скотч алюминиевый 45м, шт</t>
  </si>
  <si>
    <t>Тройник 200 оцинков., шт</t>
  </si>
  <si>
    <t>Трудовая книжка нового образца, шт</t>
  </si>
  <si>
    <t>Форель охл. не потр. р/р 2-3 с/г, кг</t>
  </si>
  <si>
    <t>Форель охл. потр. 0,4-1 с/г, кг</t>
  </si>
  <si>
    <t>Форель охл. потр. 2-3 с/г, кг</t>
  </si>
  <si>
    <t>Форель охл. потр. 3-4 с/г, кг</t>
  </si>
  <si>
    <t>Аутригеры опорные, шт</t>
  </si>
  <si>
    <t>Корпоративное управление, шт</t>
  </si>
  <si>
    <t>Лосось атл.(семга) ГП 0-3 Ind с/м с/г, кг</t>
  </si>
  <si>
    <t>Лосось атл.(семга) ГП 4-5 Ord с/м с/г , кг</t>
  </si>
  <si>
    <t>Лосось атл.(семга) ГП 5-6 Ord с/м с/г, кг</t>
  </si>
  <si>
    <t>Лосось атл.(семга) ГП 6-7 Sup с/м с/г, кг</t>
  </si>
  <si>
    <t>Лосось атл.(семга) ГП 7-8 Ord с/м с/г , кг</t>
  </si>
  <si>
    <t>Лосось атл.(семга) ГП 8-9 Ord охл с/г, кг</t>
  </si>
  <si>
    <t>Лосось атл.(семга) ГП 8-9 Ord с/м с/г , кг</t>
  </si>
  <si>
    <t>Лосось атл.(семга) ГП 8-9 Sup с/м с/г, кг</t>
  </si>
  <si>
    <t>Монитор BENQ 24" GL2450, 9H.L7ALA.RPE, шт</t>
  </si>
  <si>
    <t>Монитор BENQ 24" GL2450HE Glossy-Black TN LED2ms 16:9, шт</t>
  </si>
  <si>
    <t>Новогодний подарок, шт</t>
  </si>
  <si>
    <t>Оксид Меди Cu20 (I), кг</t>
  </si>
  <si>
    <t>Транспортные услуги, шт</t>
  </si>
  <si>
    <t>Финансово-казначейские услуги, шт</t>
  </si>
  <si>
    <t>Форель потр. 0-1 с/г с/м, кг</t>
  </si>
  <si>
    <t>Форель потр. 1-2 с/г с/м , кг</t>
  </si>
  <si>
    <t>Форель потр. ORD с/м (1-2), кг</t>
  </si>
  <si>
    <t>Аккумуляторы свинцовые отработанные в сборе, без электролита, кг</t>
  </si>
  <si>
    <t>Картон упаковочный, кг</t>
  </si>
  <si>
    <t>Костюм    зимний " ПИКСЕЛЬ"  белый  (-40) 50/188, шт</t>
  </si>
  <si>
    <t>Лосось атл.(семга) ГП 6-7 Ord с/м с/г, кг</t>
  </si>
  <si>
    <t>Ноутбук Lenovo ThinrPad X1 Carbon,14,5Gen, i5 7200U FHD.8GB. SSD256Gb.Win 10 (20HR0021RT), шт</t>
  </si>
  <si>
    <t>План эвакуации, шт</t>
  </si>
  <si>
    <t>Пленка ПВД, кг</t>
  </si>
  <si>
    <t>Пленка ПВД цв, кг</t>
  </si>
  <si>
    <t>Пленка стрейч, кг</t>
  </si>
  <si>
    <t>Подарочная карта МВИДЕО, шт</t>
  </si>
  <si>
    <t>Форель охл. потр. 1-1,4 с/г, кг</t>
  </si>
  <si>
    <t>Форель охл. потр. 1-1,4 с/г ORD, кг</t>
  </si>
  <si>
    <t>Форель охл. потр. 1,4-2  с/г, кг</t>
  </si>
  <si>
    <t>Форель охл. потр. 1,4-2  с/г ORD, кг</t>
  </si>
  <si>
    <t>Форель охл. потр. ORD с/м, кг</t>
  </si>
  <si>
    <t>Форель потр. 1-1,4  с/г с/м, кг</t>
  </si>
  <si>
    <t>Форель потр. 1-1,4 ORD с/г с/м, кг</t>
  </si>
  <si>
    <t>Форель потр. 1,4-2  с/г с/м, кг</t>
  </si>
  <si>
    <t>Форель потр. 2-3  с/г с/м, кг</t>
  </si>
  <si>
    <t>Форель потр. 3-4  с/г с/м, кг</t>
  </si>
  <si>
    <t>Икра С/М лососевая зернистая из форели с консервантом  , кг</t>
  </si>
  <si>
    <t>Сапоги зимние "Топпер" МУН 15, пар</t>
  </si>
  <si>
    <t>Силос рыбный, кг</t>
  </si>
  <si>
    <t>Снегоход POLARIS WIDETRAK LX.2011 г, в неисправном состоянии, б/у,двигатель  D010181200913, шт</t>
  </si>
  <si>
    <t>Труба 090х5,4 (бухта 400 метров), 100 шт</t>
  </si>
  <si>
    <t>Услуги проживания, шт</t>
  </si>
  <si>
    <t>Форель потр. 0-1,4 IND с/г с/м, кг</t>
  </si>
  <si>
    <t>Форель потр. 0,1-1 ORD с/м, кг</t>
  </si>
  <si>
    <t>Форель потр. 1,4-2 ORD с/г с/м, кг</t>
  </si>
  <si>
    <t>Вентилятор для ноутбука Леново, шт</t>
  </si>
  <si>
    <t>ГСМ- Топливо маловязкое судовое, вид 2 (т), т</t>
  </si>
  <si>
    <t>ГСМ- Топливо СМТ, вид Э (т), т</t>
  </si>
  <si>
    <t>ГСМ- Топливо ТСУ-380 (RMG-380) вид I (т), т</t>
  </si>
  <si>
    <t>Костюм флис. Norfin Polar Line 203 р.XL, компл</t>
  </si>
  <si>
    <t>листовка с УФ-лаком, шт</t>
  </si>
  <si>
    <t>Лосось атлантический (семга) охл. готовая продукция для промышленной переработки Ind с/г, кг</t>
  </si>
  <si>
    <t>Мешок полиэтиленовый низкой плотности, шт</t>
  </si>
  <si>
    <t>Набор рыбный из форели радужной соленый (упак), кг</t>
  </si>
  <si>
    <t>Набор рыбный из форели радужной соленый замороженный (упак), кг</t>
  </si>
  <si>
    <t>сапоги ЭВА муж. зимние НОРД (SARDONIX) -60С р43/44, пар</t>
  </si>
  <si>
    <t>Спасательный костюм - поплавок Abu Garcia 50N, шт</t>
  </si>
  <si>
    <t>Теша с кожей из форели радужной соленая (упак), кг</t>
  </si>
  <si>
    <t>Ультрабук Lenovo Thinkpad X1 Carbon Core i7 8500U/8Gb/SSD512Gb/Intel UHD Graphics 620/14",20KH0039RT, шт</t>
  </si>
  <si>
    <t>Филе кусок из форели радужной соленый (упак), кг</t>
  </si>
  <si>
    <t>Филе ломтики из форели радужной соленые (упак), кг</t>
  </si>
  <si>
    <t>Форель Мурманск ГП 0-1 Ord с/м ПСГ, кг</t>
  </si>
  <si>
    <t>Форель Мурманск ГП 0-3 Ind охл ПСГ, кг</t>
  </si>
  <si>
    <t>Форель Мурманск ГП 1-2 Ord охл ПСГ, кг</t>
  </si>
  <si>
    <t>Форель Мурманск ГП 1-2 Ord с/м ПСГ, кг</t>
  </si>
  <si>
    <t>Форель Мурманск ГП 1-2 Sup охл ПСГ, кг</t>
  </si>
  <si>
    <t>Форель Мурманск ГП 1-2 Sup с/м ПСГ, кг</t>
  </si>
  <si>
    <t>Форель Мурманск ГП 2-3 Ord охл ПСГ, кг</t>
  </si>
  <si>
    <t>Форель Мурманск ГП 2-3 Ord с/м ПСГ, кг</t>
  </si>
  <si>
    <t>Форель Мурманск ГП 2-3 Sup охл ПСГ, кг</t>
  </si>
  <si>
    <t>Форель Мурманск ГП 2-3 Sup с/м ПСГ, кг</t>
  </si>
  <si>
    <t>Форель Мурманск ГП 3-4 Ord охл ПСГ, кг</t>
  </si>
  <si>
    <t>Форель Мурманск ГП 3-4 Ord с/м ПСГ, кг</t>
  </si>
  <si>
    <t>Форель Мурманск ГП 3-4 Sup охл ПСГ, кг</t>
  </si>
  <si>
    <t>Форель Мурманск ГП 3-4 Sup с/м ПСГ, кг</t>
  </si>
  <si>
    <t>Форель Мурманск ГП 4-5 Ord охл ПСГ, кг</t>
  </si>
  <si>
    <t>Форель Мурманск ГП 4-5 Ord с/м ПСГ, кг</t>
  </si>
  <si>
    <t>Форель Мурманск ГП 4-5 Sup охл ПСГ, кг</t>
  </si>
  <si>
    <t>Форель Мурманск ГП 4-5 Sup с/м ПСГ, кг</t>
  </si>
  <si>
    <t>Форель Мурманск ГП 5-6 Ord охл ПСГ, кг</t>
  </si>
  <si>
    <t>Форель Мурманск ГП 5-6 Ord с/м ПСГ, кг</t>
  </si>
  <si>
    <t>Форель Мурманск ГП 5-6 Sup охл ПСГ, кг</t>
  </si>
  <si>
    <t>Форель Мурманск ГП 5-6 Sup с/м ПСГ, кг</t>
  </si>
  <si>
    <t>Форель Мурманск ГП 6-7 Ord охл ПСГ, кг</t>
  </si>
  <si>
    <t>Форель Мурманск ГП 6-7 Sup охл ПСГ, кг</t>
  </si>
  <si>
    <t>Форель Мурманск ГП 7-8 Sup охл ПСГ, кг</t>
  </si>
  <si>
    <t>Форель Мурманск охл. готовая продукция 0-1 Ord ПСГ, кг</t>
  </si>
  <si>
    <t>Форель Мурманск охл. готовая продукция для промышленной переработки Ind ПСГ, кг</t>
  </si>
  <si>
    <t>Формалин (еврокуб), кг</t>
  </si>
  <si>
    <t>Шапка ушанка "Антифрост" с иск. мехом р. 58, шт</t>
  </si>
  <si>
    <t>nd</t>
  </si>
  <si>
    <t>na</t>
  </si>
  <si>
    <t>Net profit LTM</t>
  </si>
  <si>
    <t>FV adjustment in Balance sheet</t>
  </si>
  <si>
    <t>Equity less FV adj</t>
  </si>
  <si>
    <t>Invested capital*</t>
  </si>
  <si>
    <t>* - incl. PPE, Advances given on PPE purposes, Right to Use Assets, Inventories, Biological assets</t>
  </si>
  <si>
    <t>Average invested capital</t>
  </si>
  <si>
    <t>ROIC</t>
  </si>
  <si>
    <t>Debt</t>
  </si>
  <si>
    <t>EBIT oper</t>
  </si>
  <si>
    <t>Average capital employed</t>
  </si>
  <si>
    <t>NIBD av</t>
  </si>
  <si>
    <t>Equity av</t>
  </si>
  <si>
    <t>FV adj. av</t>
  </si>
  <si>
    <t>Please refer to the calculation below</t>
  </si>
  <si>
    <t>Please refer to the sheet "Op. metric_Add info"</t>
  </si>
  <si>
    <t>ROCE*</t>
  </si>
  <si>
    <t>Period average capital employed is defined as Average Equity plus Average Net interesting bering debt less average FV adjustment on biological assets</t>
  </si>
  <si>
    <t>We tried to make the ROCE calculation methodologically aligned for all peers, though there could remain some deviations due to some specific items for companies</t>
  </si>
  <si>
    <t>The data is presented only for comparison purposes</t>
  </si>
  <si>
    <t>Grieg seafood</t>
  </si>
  <si>
    <t>LTM figures</t>
  </si>
  <si>
    <t>Please refer to the calculation below (the Company's methodology for ROCE differs)</t>
  </si>
  <si>
    <t>Company’s data</t>
  </si>
  <si>
    <t>*We calculate ROCE based on the most common methodology as: EBIT before FV adjustments divided by the period average capital employed</t>
  </si>
  <si>
    <t>All figures below (excl. ROCE) are presented for Farming segments</t>
  </si>
  <si>
    <t>EBIT/kg, EUR</t>
  </si>
  <si>
    <t>Volume, tonnes GWT</t>
  </si>
  <si>
    <t>Costs/kg, EUR</t>
  </si>
  <si>
    <t>Price/kg, EUR</t>
  </si>
  <si>
    <t>1H 2022</t>
  </si>
  <si>
    <t>1H 2023</t>
  </si>
  <si>
    <t>Deferred income</t>
  </si>
  <si>
    <t xml:space="preserve">Receivables for Subsidiary </t>
  </si>
  <si>
    <t>Profit on revaluation of Investment in Associates</t>
  </si>
  <si>
    <t>Reserve for expected credit losses</t>
  </si>
  <si>
    <t>Impairment allownce on advances given</t>
  </si>
  <si>
    <t xml:space="preserve">  Profit from Reval of Investment in Associates</t>
  </si>
  <si>
    <t xml:space="preserve">  Profit from sales of subsidiary</t>
  </si>
  <si>
    <t>Estimated liabilities and provisions</t>
  </si>
  <si>
    <t xml:space="preserve">  Reserves for write-off of finished products</t>
  </si>
  <si>
    <t xml:space="preserve"> Inc in Other taxes payable</t>
  </si>
  <si>
    <t xml:space="preserve">  Provision for impairment of ship</t>
  </si>
  <si>
    <t xml:space="preserve">  Costs on refloating of ship</t>
  </si>
  <si>
    <t>Impairment</t>
  </si>
  <si>
    <t>Costs on refloating of ship</t>
  </si>
  <si>
    <t>Revaluation profit (+)/loss (-) on agricultural products</t>
  </si>
  <si>
    <t>Продажи, тыс. тн</t>
  </si>
  <si>
    <t>Выручка, млрд руб.</t>
  </si>
  <si>
    <t>Чистая прибыль*, млрд руб.</t>
  </si>
  <si>
    <t>EBITDA, млрд руб.</t>
  </si>
  <si>
    <t>Рентабельность по EBITDA</t>
  </si>
  <si>
    <t>Опер. EBIT, млрд руб.</t>
  </si>
  <si>
    <t>Опер. EBIT, евро/кг</t>
  </si>
  <si>
    <t>Курс евро</t>
  </si>
  <si>
    <t>Profit on revaluation of investments in associates</t>
  </si>
  <si>
    <t>Net Profit (continued operations)</t>
  </si>
  <si>
    <t>1H 2024</t>
  </si>
  <si>
    <t xml:space="preserve">  Restoring reserves</t>
  </si>
  <si>
    <t>Insurance compensation</t>
  </si>
  <si>
    <t>Non-current biological assets</t>
  </si>
  <si>
    <t>Other obligations</t>
  </si>
  <si>
    <t xml:space="preserve">  Loss on disposal of intangible assets</t>
  </si>
  <si>
    <t>Acquisition of shares in a joint venture</t>
  </si>
  <si>
    <t xml:space="preserve">  Depr &amp; Amort</t>
  </si>
  <si>
    <t>Reserves for share-based payments</t>
  </si>
  <si>
    <t>1H 2025</t>
  </si>
  <si>
    <t>Share based pmt</t>
  </si>
  <si>
    <t xml:space="preserve">  Seaweed</t>
  </si>
  <si>
    <t>Derivatives</t>
  </si>
  <si>
    <t>In case of deviations with FS - please refer to FS as a prior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</si>
</sst>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_-* #,##0.0_-;\-* #,##0.0_-;_-* &quot;-&quot;??_-;_-@_-"/>
    <numFmt numFmtId="167" formatCode="0.000"/>
    <numFmt numFmtId="168" formatCode="#,##0.000"/>
    <numFmt numFmtId="169" formatCode="0.0%"/>
    <numFmt numFmtId="170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rgb="FF00206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b/>
      <sz val="9"/>
      <color theme="0" tint="-0.499984740745262"/>
      <name val="Arial"/>
      <family val="2"/>
      <charset val="204"/>
    </font>
    <font>
      <i/>
      <sz val="9"/>
      <color theme="0" tint="-0.499984740745262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u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0" tint="-0.499984740745262"/>
      <name val="Arial"/>
      <family val="2"/>
      <charset val="204"/>
    </font>
    <font>
      <sz val="8"/>
      <name val="Arial"/>
      <family val="2"/>
    </font>
    <font>
      <b/>
      <sz val="8"/>
      <color indexed="59"/>
      <name val="Arial"/>
      <family val="2"/>
    </font>
    <font>
      <sz val="8"/>
      <color indexed="8"/>
      <name val="Arial"/>
      <family val="2"/>
    </font>
    <font>
      <sz val="11"/>
      <color theme="0" tint="-0.499984740745262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i/>
      <sz val="18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230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1" applyNumberFormat="1" applyFont="1"/>
    <xf numFmtId="0" fontId="4" fillId="0" borderId="0" xfId="0" applyFont="1" applyAlignment="1">
      <alignment horizontal="left" indent="2"/>
    </xf>
    <xf numFmtId="0" fontId="6" fillId="0" borderId="0" xfId="0" applyFont="1"/>
    <xf numFmtId="0" fontId="5" fillId="0" borderId="1" xfId="0" applyFont="1" applyBorder="1"/>
    <xf numFmtId="0" fontId="5" fillId="3" borderId="2" xfId="0" applyFont="1" applyFill="1" applyBorder="1"/>
    <xf numFmtId="0" fontId="5" fillId="3" borderId="0" xfId="0" applyFont="1" applyFill="1"/>
    <xf numFmtId="0" fontId="4" fillId="3" borderId="0" xfId="0" applyFont="1" applyFill="1"/>
    <xf numFmtId="0" fontId="5" fillId="3" borderId="1" xfId="0" applyFont="1" applyFill="1" applyBorder="1"/>
    <xf numFmtId="164" fontId="4" fillId="0" borderId="7" xfId="1" applyNumberFormat="1" applyFont="1" applyBorder="1"/>
    <xf numFmtId="0" fontId="4" fillId="0" borderId="0" xfId="0" applyFont="1" applyAlignment="1">
      <alignment horizontal="left"/>
    </xf>
    <xf numFmtId="0" fontId="4" fillId="0" borderId="1" xfId="0" applyFont="1" applyBorder="1"/>
    <xf numFmtId="3" fontId="4" fillId="0" borderId="0" xfId="0" applyNumberFormat="1" applyFont="1"/>
    <xf numFmtId="3" fontId="4" fillId="0" borderId="7" xfId="0" applyNumberFormat="1" applyFont="1" applyBorder="1"/>
    <xf numFmtId="3" fontId="4" fillId="0" borderId="0" xfId="1" applyNumberFormat="1" applyFont="1"/>
    <xf numFmtId="3" fontId="4" fillId="0" borderId="0" xfId="1" applyNumberFormat="1" applyFont="1" applyBorder="1"/>
    <xf numFmtId="3" fontId="4" fillId="0" borderId="7" xfId="1" applyNumberFormat="1" applyFont="1" applyBorder="1"/>
    <xf numFmtId="3" fontId="5" fillId="3" borderId="2" xfId="1" applyNumberFormat="1" applyFont="1" applyFill="1" applyBorder="1"/>
    <xf numFmtId="3" fontId="5" fillId="3" borderId="8" xfId="1" applyNumberFormat="1" applyFont="1" applyFill="1" applyBorder="1"/>
    <xf numFmtId="3" fontId="5" fillId="3" borderId="0" xfId="1" applyNumberFormat="1" applyFont="1" applyFill="1"/>
    <xf numFmtId="3" fontId="5" fillId="3" borderId="7" xfId="1" applyNumberFormat="1" applyFont="1" applyFill="1" applyBorder="1"/>
    <xf numFmtId="3" fontId="4" fillId="3" borderId="0" xfId="1" applyNumberFormat="1" applyFont="1" applyFill="1"/>
    <xf numFmtId="3" fontId="4" fillId="3" borderId="7" xfId="1" applyNumberFormat="1" applyFont="1" applyFill="1" applyBorder="1"/>
    <xf numFmtId="3" fontId="5" fillId="3" borderId="1" xfId="1" applyNumberFormat="1" applyFont="1" applyFill="1" applyBorder="1"/>
    <xf numFmtId="3" fontId="5" fillId="3" borderId="6" xfId="1" applyNumberFormat="1" applyFont="1" applyFill="1" applyBorder="1"/>
    <xf numFmtId="3" fontId="4" fillId="0" borderId="1" xfId="0" applyNumberFormat="1" applyFont="1" applyBorder="1"/>
    <xf numFmtId="0" fontId="7" fillId="2" borderId="0" xfId="0" applyFont="1" applyFill="1"/>
    <xf numFmtId="3" fontId="4" fillId="2" borderId="0" xfId="0" applyNumberFormat="1" applyFont="1" applyFill="1"/>
    <xf numFmtId="3" fontId="4" fillId="2" borderId="7" xfId="0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" fontId="10" fillId="2" borderId="4" xfId="0" applyNumberFormat="1" applyFont="1" applyFill="1" applyBorder="1" applyAlignment="1">
      <alignment horizontal="center" vertical="center"/>
    </xf>
    <xf numFmtId="3" fontId="11" fillId="0" borderId="3" xfId="0" applyNumberFormat="1" applyFont="1" applyBorder="1"/>
    <xf numFmtId="3" fontId="11" fillId="0" borderId="0" xfId="0" applyNumberFormat="1" applyFont="1"/>
    <xf numFmtId="3" fontId="11" fillId="2" borderId="3" xfId="0" applyNumberFormat="1" applyFont="1" applyFill="1" applyBorder="1"/>
    <xf numFmtId="3" fontId="11" fillId="2" borderId="0" xfId="0" applyNumberFormat="1" applyFont="1" applyFill="1"/>
    <xf numFmtId="3" fontId="11" fillId="0" borderId="3" xfId="1" applyNumberFormat="1" applyFont="1" applyBorder="1"/>
    <xf numFmtId="3" fontId="12" fillId="3" borderId="5" xfId="1" applyNumberFormat="1" applyFont="1" applyFill="1" applyBorder="1"/>
    <xf numFmtId="3" fontId="12" fillId="3" borderId="3" xfId="1" applyNumberFormat="1" applyFont="1" applyFill="1" applyBorder="1"/>
    <xf numFmtId="3" fontId="11" fillId="3" borderId="3" xfId="1" applyNumberFormat="1" applyFont="1" applyFill="1" applyBorder="1"/>
    <xf numFmtId="3" fontId="12" fillId="3" borderId="4" xfId="1" applyNumberFormat="1" applyFont="1" applyFill="1" applyBorder="1"/>
    <xf numFmtId="0" fontId="11" fillId="0" borderId="3" xfId="0" applyFont="1" applyBorder="1"/>
    <xf numFmtId="0" fontId="11" fillId="0" borderId="0" xfId="0" applyFont="1"/>
    <xf numFmtId="3" fontId="11" fillId="0" borderId="7" xfId="1" applyNumberFormat="1" applyFont="1" applyBorder="1"/>
    <xf numFmtId="3" fontId="4" fillId="0" borderId="0" xfId="1" applyNumberFormat="1" applyFont="1" applyFill="1"/>
    <xf numFmtId="3" fontId="11" fillId="0" borderId="3" xfId="1" applyNumberFormat="1" applyFont="1" applyFill="1" applyBorder="1"/>
    <xf numFmtId="3" fontId="4" fillId="0" borderId="7" xfId="1" applyNumberFormat="1" applyFont="1" applyFill="1" applyBorder="1"/>
    <xf numFmtId="3" fontId="4" fillId="0" borderId="0" xfId="1" applyNumberFormat="1" applyFont="1" applyFill="1" applyBorder="1"/>
    <xf numFmtId="3" fontId="12" fillId="0" borderId="4" xfId="1" applyNumberFormat="1" applyFont="1" applyFill="1" applyBorder="1"/>
    <xf numFmtId="3" fontId="5" fillId="0" borderId="6" xfId="1" applyNumberFormat="1" applyFont="1" applyFill="1" applyBorder="1"/>
    <xf numFmtId="3" fontId="5" fillId="0" borderId="1" xfId="1" applyNumberFormat="1" applyFont="1" applyFill="1" applyBorder="1"/>
    <xf numFmtId="3" fontId="4" fillId="0" borderId="7" xfId="3" applyNumberFormat="1" applyFont="1" applyFill="1" applyBorder="1"/>
    <xf numFmtId="3" fontId="4" fillId="0" borderId="0" xfId="3" applyNumberFormat="1" applyFont="1" applyFill="1"/>
    <xf numFmtId="3" fontId="12" fillId="0" borderId="3" xfId="1" applyNumberFormat="1" applyFont="1" applyFill="1" applyBorder="1"/>
    <xf numFmtId="3" fontId="5" fillId="0" borderId="7" xfId="1" applyNumberFormat="1" applyFont="1" applyFill="1" applyBorder="1"/>
    <xf numFmtId="3" fontId="5" fillId="0" borderId="0" xfId="1" applyNumberFormat="1" applyFont="1" applyFill="1"/>
    <xf numFmtId="3" fontId="5" fillId="0" borderId="0" xfId="1" applyNumberFormat="1" applyFont="1" applyFill="1" applyBorder="1"/>
    <xf numFmtId="3" fontId="13" fillId="0" borderId="3" xfId="1" applyNumberFormat="1" applyFont="1" applyFill="1" applyBorder="1"/>
    <xf numFmtId="3" fontId="6" fillId="0" borderId="7" xfId="1" applyNumberFormat="1" applyFont="1" applyFill="1" applyBorder="1"/>
    <xf numFmtId="3" fontId="6" fillId="0" borderId="0" xfId="1" applyNumberFormat="1" applyFont="1" applyFill="1"/>
    <xf numFmtId="3" fontId="11" fillId="0" borderId="4" xfId="1" applyNumberFormat="1" applyFont="1" applyFill="1" applyBorder="1"/>
    <xf numFmtId="3" fontId="4" fillId="0" borderId="6" xfId="1" applyNumberFormat="1" applyFont="1" applyFill="1" applyBorder="1"/>
    <xf numFmtId="3" fontId="4" fillId="0" borderId="1" xfId="1" applyNumberFormat="1" applyFont="1" applyFill="1" applyBorder="1"/>
    <xf numFmtId="9" fontId="11" fillId="0" borderId="3" xfId="3" applyFont="1" applyBorder="1"/>
    <xf numFmtId="9" fontId="4" fillId="0" borderId="0" xfId="3" applyFont="1"/>
    <xf numFmtId="9" fontId="4" fillId="0" borderId="0" xfId="3" applyFont="1" applyBorder="1"/>
    <xf numFmtId="164" fontId="4" fillId="0" borderId="0" xfId="1" applyNumberFormat="1" applyFont="1" applyBorder="1"/>
    <xf numFmtId="0" fontId="14" fillId="0" borderId="9" xfId="0" applyFont="1" applyBorder="1"/>
    <xf numFmtId="0" fontId="14" fillId="0" borderId="10" xfId="0" applyFont="1" applyBorder="1"/>
    <xf numFmtId="0" fontId="0" fillId="0" borderId="11" xfId="0" applyBorder="1"/>
    <xf numFmtId="0" fontId="0" fillId="0" borderId="13" xfId="0" applyBorder="1"/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65" fontId="0" fillId="0" borderId="12" xfId="0" applyNumberFormat="1" applyBorder="1"/>
    <xf numFmtId="165" fontId="0" fillId="0" borderId="14" xfId="0" applyNumberFormat="1" applyBorder="1"/>
    <xf numFmtId="9" fontId="0" fillId="0" borderId="12" xfId="3" applyFont="1" applyBorder="1"/>
    <xf numFmtId="9" fontId="0" fillId="0" borderId="12" xfId="0" applyNumberFormat="1" applyBorder="1"/>
    <xf numFmtId="9" fontId="0" fillId="0" borderId="14" xfId="3" applyFont="1" applyBorder="1"/>
    <xf numFmtId="0" fontId="0" fillId="4" borderId="11" xfId="0" applyFill="1" applyBorder="1"/>
    <xf numFmtId="9" fontId="0" fillId="4" borderId="12" xfId="3" applyFont="1" applyFill="1" applyBorder="1"/>
    <xf numFmtId="165" fontId="0" fillId="4" borderId="12" xfId="0" applyNumberFormat="1" applyFill="1" applyBorder="1"/>
    <xf numFmtId="0" fontId="6" fillId="0" borderId="0" xfId="0" applyFont="1" applyAlignment="1">
      <alignment horizontal="left" indent="1"/>
    </xf>
    <xf numFmtId="3" fontId="4" fillId="0" borderId="4" xfId="0" applyNumberFormat="1" applyFont="1" applyBorder="1"/>
    <xf numFmtId="0" fontId="15" fillId="0" borderId="0" xfId="0" applyFont="1"/>
    <xf numFmtId="0" fontId="4" fillId="0" borderId="16" xfId="0" applyFont="1" applyBorder="1"/>
    <xf numFmtId="166" fontId="4" fillId="0" borderId="16" xfId="1" applyNumberFormat="1" applyFont="1" applyBorder="1"/>
    <xf numFmtId="164" fontId="16" fillId="0" borderId="0" xfId="1" applyNumberFormat="1" applyFont="1" applyBorder="1"/>
    <xf numFmtId="164" fontId="16" fillId="0" borderId="0" xfId="1" applyNumberFormat="1" applyFont="1"/>
    <xf numFmtId="0" fontId="16" fillId="0" borderId="0" xfId="0" applyFont="1" applyAlignment="1">
      <alignment horizontal="left" indent="1"/>
    </xf>
    <xf numFmtId="3" fontId="12" fillId="0" borderId="0" xfId="1" applyNumberFormat="1" applyFont="1" applyFill="1" applyBorder="1"/>
    <xf numFmtId="0" fontId="19" fillId="5" borderId="18" xfId="4" applyFont="1" applyFill="1" applyBorder="1" applyAlignment="1">
      <alignment horizontal="left" vertical="top" wrapText="1"/>
    </xf>
    <xf numFmtId="0" fontId="19" fillId="5" borderId="18" xfId="4" applyFont="1" applyFill="1" applyBorder="1" applyAlignment="1">
      <alignment horizontal="center" vertical="top" wrapText="1"/>
    </xf>
    <xf numFmtId="0" fontId="20" fillId="5" borderId="18" xfId="4" applyFont="1" applyFill="1" applyBorder="1" applyAlignment="1">
      <alignment vertical="top" wrapText="1"/>
    </xf>
    <xf numFmtId="4" fontId="20" fillId="5" borderId="18" xfId="4" applyNumberFormat="1" applyFont="1" applyFill="1" applyBorder="1" applyAlignment="1">
      <alignment horizontal="right" vertical="top" wrapText="1"/>
    </xf>
    <xf numFmtId="167" fontId="20" fillId="5" borderId="18" xfId="4" applyNumberFormat="1" applyFont="1" applyFill="1" applyBorder="1" applyAlignment="1">
      <alignment horizontal="right" vertical="top" wrapText="1"/>
    </xf>
    <xf numFmtId="0" fontId="20" fillId="5" borderId="18" xfId="4" applyFont="1" applyFill="1" applyBorder="1" applyAlignment="1">
      <alignment horizontal="right" vertical="top" wrapText="1"/>
    </xf>
    <xf numFmtId="168" fontId="20" fillId="5" borderId="18" xfId="4" applyNumberFormat="1" applyFont="1" applyFill="1" applyBorder="1" applyAlignment="1">
      <alignment horizontal="right" vertical="top" wrapText="1"/>
    </xf>
    <xf numFmtId="2" fontId="20" fillId="5" borderId="18" xfId="4" applyNumberFormat="1" applyFont="1" applyFill="1" applyBorder="1" applyAlignment="1">
      <alignment horizontal="right" vertical="top" wrapText="1"/>
    </xf>
    <xf numFmtId="0" fontId="18" fillId="0" borderId="0" xfId="4"/>
    <xf numFmtId="4" fontId="19" fillId="5" borderId="18" xfId="4" applyNumberFormat="1" applyFont="1" applyFill="1" applyBorder="1" applyAlignment="1">
      <alignment horizontal="right" vertical="top" wrapText="1"/>
    </xf>
    <xf numFmtId="168" fontId="19" fillId="5" borderId="18" xfId="4" applyNumberFormat="1" applyFont="1" applyFill="1" applyBorder="1" applyAlignment="1">
      <alignment horizontal="right" vertical="top" wrapText="1"/>
    </xf>
    <xf numFmtId="2" fontId="19" fillId="5" borderId="18" xfId="4" applyNumberFormat="1" applyFont="1" applyFill="1" applyBorder="1" applyAlignment="1">
      <alignment horizontal="right" vertical="top" wrapText="1"/>
    </xf>
    <xf numFmtId="0" fontId="19" fillId="5" borderId="18" xfId="5" applyFont="1" applyFill="1" applyBorder="1" applyAlignment="1">
      <alignment horizontal="left" vertical="top" wrapText="1"/>
    </xf>
    <xf numFmtId="0" fontId="19" fillId="5" borderId="18" xfId="5" applyFont="1" applyFill="1" applyBorder="1" applyAlignment="1">
      <alignment horizontal="center" vertical="top" wrapText="1"/>
    </xf>
    <xf numFmtId="0" fontId="20" fillId="5" borderId="18" xfId="5" applyFont="1" applyFill="1" applyBorder="1" applyAlignment="1">
      <alignment vertical="top" wrapText="1"/>
    </xf>
    <xf numFmtId="4" fontId="20" fillId="5" borderId="18" xfId="5" applyNumberFormat="1" applyFont="1" applyFill="1" applyBorder="1" applyAlignment="1">
      <alignment horizontal="right" vertical="top" wrapText="1"/>
    </xf>
    <xf numFmtId="167" fontId="20" fillId="5" borderId="18" xfId="5" applyNumberFormat="1" applyFont="1" applyFill="1" applyBorder="1" applyAlignment="1">
      <alignment horizontal="right" vertical="top" wrapText="1"/>
    </xf>
    <xf numFmtId="0" fontId="20" fillId="5" borderId="18" xfId="5" applyFont="1" applyFill="1" applyBorder="1" applyAlignment="1">
      <alignment horizontal="right" vertical="top" wrapText="1"/>
    </xf>
    <xf numFmtId="2" fontId="20" fillId="5" borderId="18" xfId="5" applyNumberFormat="1" applyFont="1" applyFill="1" applyBorder="1" applyAlignment="1">
      <alignment horizontal="right" vertical="top" wrapText="1"/>
    </xf>
    <xf numFmtId="168" fontId="20" fillId="5" borderId="18" xfId="5" applyNumberFormat="1" applyFont="1" applyFill="1" applyBorder="1" applyAlignment="1">
      <alignment horizontal="right" vertical="top" wrapText="1"/>
    </xf>
    <xf numFmtId="0" fontId="18" fillId="0" borderId="0" xfId="5"/>
    <xf numFmtId="4" fontId="19" fillId="5" borderId="18" xfId="5" applyNumberFormat="1" applyFont="1" applyFill="1" applyBorder="1" applyAlignment="1">
      <alignment horizontal="right" vertical="top" wrapText="1"/>
    </xf>
    <xf numFmtId="168" fontId="19" fillId="5" borderId="18" xfId="5" applyNumberFormat="1" applyFont="1" applyFill="1" applyBorder="1" applyAlignment="1">
      <alignment horizontal="right" vertical="top" wrapText="1"/>
    </xf>
    <xf numFmtId="2" fontId="19" fillId="5" borderId="18" xfId="5" applyNumberFormat="1" applyFont="1" applyFill="1" applyBorder="1" applyAlignment="1">
      <alignment horizontal="right" vertical="top" wrapText="1"/>
    </xf>
    <xf numFmtId="0" fontId="19" fillId="5" borderId="18" xfId="6" applyFont="1" applyFill="1" applyBorder="1" applyAlignment="1">
      <alignment horizontal="left" vertical="top" wrapText="1"/>
    </xf>
    <xf numFmtId="0" fontId="19" fillId="5" borderId="18" xfId="6" applyFont="1" applyFill="1" applyBorder="1" applyAlignment="1">
      <alignment horizontal="center" vertical="top" wrapText="1"/>
    </xf>
    <xf numFmtId="0" fontId="18" fillId="0" borderId="0" xfId="6"/>
    <xf numFmtId="0" fontId="20" fillId="5" borderId="18" xfId="6" applyFont="1" applyFill="1" applyBorder="1" applyAlignment="1">
      <alignment vertical="top" wrapText="1"/>
    </xf>
    <xf numFmtId="4" fontId="20" fillId="5" borderId="18" xfId="6" applyNumberFormat="1" applyFont="1" applyFill="1" applyBorder="1" applyAlignment="1">
      <alignment horizontal="right" vertical="top" wrapText="1"/>
    </xf>
    <xf numFmtId="167" fontId="20" fillId="5" borderId="18" xfId="6" applyNumberFormat="1" applyFont="1" applyFill="1" applyBorder="1" applyAlignment="1">
      <alignment horizontal="right" vertical="top" wrapText="1"/>
    </xf>
    <xf numFmtId="0" fontId="20" fillId="5" borderId="18" xfId="6" applyFont="1" applyFill="1" applyBorder="1" applyAlignment="1">
      <alignment horizontal="right" vertical="top" wrapText="1"/>
    </xf>
    <xf numFmtId="168" fontId="20" fillId="5" borderId="18" xfId="6" applyNumberFormat="1" applyFont="1" applyFill="1" applyBorder="1" applyAlignment="1">
      <alignment horizontal="right" vertical="top" wrapText="1"/>
    </xf>
    <xf numFmtId="2" fontId="20" fillId="5" borderId="18" xfId="6" applyNumberFormat="1" applyFont="1" applyFill="1" applyBorder="1" applyAlignment="1">
      <alignment horizontal="right" vertical="top" wrapText="1"/>
    </xf>
    <xf numFmtId="4" fontId="19" fillId="5" borderId="18" xfId="6" applyNumberFormat="1" applyFont="1" applyFill="1" applyBorder="1" applyAlignment="1">
      <alignment horizontal="right" vertical="top" wrapText="1"/>
    </xf>
    <xf numFmtId="168" fontId="19" fillId="5" borderId="18" xfId="6" applyNumberFormat="1" applyFont="1" applyFill="1" applyBorder="1" applyAlignment="1">
      <alignment horizontal="right" vertical="top" wrapText="1"/>
    </xf>
    <xf numFmtId="2" fontId="19" fillId="5" borderId="18" xfId="6" applyNumberFormat="1" applyFont="1" applyFill="1" applyBorder="1" applyAlignment="1">
      <alignment horizontal="right" vertical="top" wrapText="1"/>
    </xf>
    <xf numFmtId="0" fontId="19" fillId="5" borderId="18" xfId="7" applyFont="1" applyFill="1" applyBorder="1" applyAlignment="1">
      <alignment horizontal="left" vertical="top" wrapText="1"/>
    </xf>
    <xf numFmtId="0" fontId="19" fillId="5" borderId="18" xfId="7" applyFont="1" applyFill="1" applyBorder="1" applyAlignment="1">
      <alignment horizontal="center" vertical="top" wrapText="1"/>
    </xf>
    <xf numFmtId="0" fontId="20" fillId="5" borderId="18" xfId="7" applyFont="1" applyFill="1" applyBorder="1" applyAlignment="1">
      <alignment vertical="top" wrapText="1"/>
    </xf>
    <xf numFmtId="4" fontId="20" fillId="5" borderId="18" xfId="7" applyNumberFormat="1" applyFont="1" applyFill="1" applyBorder="1" applyAlignment="1">
      <alignment horizontal="right" vertical="top" wrapText="1"/>
    </xf>
    <xf numFmtId="167" fontId="20" fillId="5" borderId="18" xfId="7" applyNumberFormat="1" applyFont="1" applyFill="1" applyBorder="1" applyAlignment="1">
      <alignment horizontal="right" vertical="top" wrapText="1"/>
    </xf>
    <xf numFmtId="0" fontId="20" fillId="5" borderId="18" xfId="7" applyFont="1" applyFill="1" applyBorder="1" applyAlignment="1">
      <alignment horizontal="right" vertical="top" wrapText="1"/>
    </xf>
    <xf numFmtId="168" fontId="20" fillId="5" borderId="18" xfId="7" applyNumberFormat="1" applyFont="1" applyFill="1" applyBorder="1" applyAlignment="1">
      <alignment horizontal="right" vertical="top" wrapText="1"/>
    </xf>
    <xf numFmtId="2" fontId="20" fillId="5" borderId="18" xfId="7" applyNumberFormat="1" applyFont="1" applyFill="1" applyBorder="1" applyAlignment="1">
      <alignment horizontal="right" vertical="top" wrapText="1"/>
    </xf>
    <xf numFmtId="0" fontId="18" fillId="0" borderId="0" xfId="7"/>
    <xf numFmtId="4" fontId="19" fillId="5" borderId="18" xfId="7" applyNumberFormat="1" applyFont="1" applyFill="1" applyBorder="1" applyAlignment="1">
      <alignment horizontal="right" vertical="top" wrapText="1"/>
    </xf>
    <xf numFmtId="168" fontId="19" fillId="5" borderId="18" xfId="7" applyNumberFormat="1" applyFont="1" applyFill="1" applyBorder="1" applyAlignment="1">
      <alignment horizontal="right" vertical="top" wrapText="1"/>
    </xf>
    <xf numFmtId="2" fontId="19" fillId="5" borderId="18" xfId="7" applyNumberFormat="1" applyFont="1" applyFill="1" applyBorder="1" applyAlignment="1">
      <alignment horizontal="right" vertical="top" wrapText="1"/>
    </xf>
    <xf numFmtId="0" fontId="19" fillId="5" borderId="18" xfId="8" applyFont="1" applyFill="1" applyBorder="1" applyAlignment="1">
      <alignment horizontal="left" vertical="top" wrapText="1"/>
    </xf>
    <xf numFmtId="0" fontId="19" fillId="5" borderId="18" xfId="8" applyFont="1" applyFill="1" applyBorder="1" applyAlignment="1">
      <alignment horizontal="center" vertical="top" wrapText="1"/>
    </xf>
    <xf numFmtId="0" fontId="20" fillId="5" borderId="18" xfId="8" applyFont="1" applyFill="1" applyBorder="1" applyAlignment="1">
      <alignment vertical="top" wrapText="1"/>
    </xf>
    <xf numFmtId="4" fontId="20" fillId="5" borderId="18" xfId="8" applyNumberFormat="1" applyFont="1" applyFill="1" applyBorder="1" applyAlignment="1">
      <alignment horizontal="right" vertical="top" wrapText="1"/>
    </xf>
    <xf numFmtId="168" fontId="20" fillId="5" borderId="18" xfId="8" applyNumberFormat="1" applyFont="1" applyFill="1" applyBorder="1" applyAlignment="1">
      <alignment horizontal="right" vertical="top" wrapText="1"/>
    </xf>
    <xf numFmtId="0" fontId="20" fillId="5" borderId="18" xfId="8" applyFont="1" applyFill="1" applyBorder="1" applyAlignment="1">
      <alignment horizontal="right" vertical="top" wrapText="1"/>
    </xf>
    <xf numFmtId="2" fontId="20" fillId="5" borderId="18" xfId="8" applyNumberFormat="1" applyFont="1" applyFill="1" applyBorder="1" applyAlignment="1">
      <alignment horizontal="right" vertical="top" wrapText="1"/>
    </xf>
    <xf numFmtId="167" fontId="20" fillId="5" borderId="18" xfId="8" applyNumberFormat="1" applyFont="1" applyFill="1" applyBorder="1" applyAlignment="1">
      <alignment horizontal="right" vertical="top" wrapText="1"/>
    </xf>
    <xf numFmtId="0" fontId="18" fillId="0" borderId="0" xfId="8"/>
    <xf numFmtId="4" fontId="19" fillId="5" borderId="18" xfId="8" applyNumberFormat="1" applyFont="1" applyFill="1" applyBorder="1" applyAlignment="1">
      <alignment horizontal="right" vertical="top" wrapText="1"/>
    </xf>
    <xf numFmtId="168" fontId="19" fillId="5" borderId="18" xfId="8" applyNumberFormat="1" applyFont="1" applyFill="1" applyBorder="1" applyAlignment="1">
      <alignment horizontal="right" vertical="top" wrapText="1"/>
    </xf>
    <xf numFmtId="2" fontId="19" fillId="5" borderId="18" xfId="8" applyNumberFormat="1" applyFont="1" applyFill="1" applyBorder="1" applyAlignment="1">
      <alignment horizontal="right" vertical="top" wrapText="1"/>
    </xf>
    <xf numFmtId="169" fontId="0" fillId="0" borderId="0" xfId="3" applyNumberFormat="1" applyFont="1"/>
    <xf numFmtId="164" fontId="17" fillId="0" borderId="3" xfId="1" applyNumberFormat="1" applyFont="1" applyBorder="1"/>
    <xf numFmtId="164" fontId="17" fillId="0" borderId="0" xfId="1" applyNumberFormat="1" applyFont="1" applyBorder="1"/>
    <xf numFmtId="0" fontId="21" fillId="0" borderId="0" xfId="0" applyFont="1"/>
    <xf numFmtId="164" fontId="17" fillId="0" borderId="0" xfId="1" applyNumberFormat="1" applyFont="1"/>
    <xf numFmtId="9" fontId="11" fillId="0" borderId="3" xfId="3" applyFont="1" applyBorder="1" applyAlignment="1">
      <alignment horizontal="right"/>
    </xf>
    <xf numFmtId="9" fontId="11" fillId="0" borderId="7" xfId="3" applyFont="1" applyBorder="1" applyAlignment="1">
      <alignment horizontal="right"/>
    </xf>
    <xf numFmtId="9" fontId="11" fillId="0" borderId="17" xfId="3" applyFont="1" applyBorder="1" applyAlignment="1">
      <alignment horizontal="right"/>
    </xf>
    <xf numFmtId="9" fontId="11" fillId="0" borderId="15" xfId="3" applyFont="1" applyBorder="1" applyAlignment="1">
      <alignment horizontal="right"/>
    </xf>
    <xf numFmtId="9" fontId="11" fillId="0" borderId="0" xfId="3" applyFont="1" applyBorder="1" applyAlignment="1">
      <alignment horizontal="right"/>
    </xf>
    <xf numFmtId="9" fontId="11" fillId="0" borderId="16" xfId="3" applyFont="1" applyBorder="1" applyAlignment="1">
      <alignment horizontal="right"/>
    </xf>
    <xf numFmtId="0" fontId="16" fillId="0" borderId="16" xfId="0" applyFont="1" applyBorder="1" applyAlignment="1">
      <alignment horizontal="left" indent="1"/>
    </xf>
    <xf numFmtId="164" fontId="17" fillId="0" borderId="17" xfId="1" applyNumberFormat="1" applyFont="1" applyBorder="1"/>
    <xf numFmtId="164" fontId="16" fillId="0" borderId="16" xfId="1" applyNumberFormat="1" applyFont="1" applyBorder="1"/>
    <xf numFmtId="0" fontId="16" fillId="0" borderId="0" xfId="0" applyFont="1" applyAlignment="1">
      <alignment horizontal="left" indent="2"/>
    </xf>
    <xf numFmtId="0" fontId="16" fillId="0" borderId="16" xfId="0" applyFont="1" applyBorder="1" applyAlignment="1">
      <alignment horizontal="left" indent="2"/>
    </xf>
    <xf numFmtId="9" fontId="12" fillId="0" borderId="0" xfId="3" applyFont="1" applyBorder="1" applyAlignment="1">
      <alignment horizontal="right"/>
    </xf>
    <xf numFmtId="9" fontId="12" fillId="0" borderId="3" xfId="3" applyFont="1" applyBorder="1" applyAlignment="1">
      <alignment horizontal="right"/>
    </xf>
    <xf numFmtId="9" fontId="5" fillId="0" borderId="0" xfId="3" applyFont="1"/>
    <xf numFmtId="9" fontId="12" fillId="0" borderId="3" xfId="3" applyFont="1" applyBorder="1"/>
    <xf numFmtId="9" fontId="5" fillId="0" borderId="0" xfId="3" applyFont="1" applyBorder="1"/>
    <xf numFmtId="9" fontId="5" fillId="0" borderId="7" xfId="3" applyFont="1" applyBorder="1"/>
    <xf numFmtId="0" fontId="5" fillId="0" borderId="16" xfId="0" applyFont="1" applyBorder="1"/>
    <xf numFmtId="9" fontId="12" fillId="0" borderId="17" xfId="3" applyFont="1" applyBorder="1"/>
    <xf numFmtId="9" fontId="5" fillId="0" borderId="15" xfId="3" applyFont="1" applyBorder="1"/>
    <xf numFmtId="9" fontId="5" fillId="0" borderId="16" xfId="3" applyFont="1" applyBorder="1"/>
    <xf numFmtId="3" fontId="0" fillId="0" borderId="0" xfId="0" applyNumberFormat="1"/>
    <xf numFmtId="0" fontId="14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2" fontId="0" fillId="0" borderId="0" xfId="0" applyNumberFormat="1"/>
    <xf numFmtId="0" fontId="14" fillId="3" borderId="19" xfId="0" applyFont="1" applyFill="1" applyBorder="1"/>
    <xf numFmtId="9" fontId="14" fillId="3" borderId="19" xfId="3" applyFont="1" applyFill="1" applyBorder="1"/>
    <xf numFmtId="0" fontId="22" fillId="0" borderId="0" xfId="0" applyFont="1"/>
    <xf numFmtId="166" fontId="0" fillId="4" borderId="12" xfId="0" applyNumberFormat="1" applyFill="1" applyBorder="1"/>
    <xf numFmtId="166" fontId="0" fillId="0" borderId="12" xfId="0" applyNumberFormat="1" applyBorder="1"/>
    <xf numFmtId="166" fontId="0" fillId="0" borderId="14" xfId="0" applyNumberFormat="1" applyBorder="1"/>
    <xf numFmtId="43" fontId="0" fillId="4" borderId="12" xfId="0" applyNumberFormat="1" applyFill="1" applyBorder="1"/>
    <xf numFmtId="43" fontId="0" fillId="0" borderId="12" xfId="0" applyNumberFormat="1" applyBorder="1"/>
    <xf numFmtId="43" fontId="0" fillId="0" borderId="14" xfId="0" applyNumberFormat="1" applyBorder="1"/>
    <xf numFmtId="166" fontId="0" fillId="0" borderId="12" xfId="1" applyNumberFormat="1" applyFont="1" applyBorder="1"/>
    <xf numFmtId="166" fontId="0" fillId="4" borderId="12" xfId="1" applyNumberFormat="1" applyFont="1" applyFill="1" applyBorder="1"/>
    <xf numFmtId="166" fontId="0" fillId="0" borderId="14" xfId="1" applyNumberFormat="1" applyFont="1" applyBorder="1"/>
    <xf numFmtId="164" fontId="0" fillId="4" borderId="12" xfId="0" applyNumberFormat="1" applyFill="1" applyBorder="1"/>
    <xf numFmtId="164" fontId="0" fillId="0" borderId="12" xfId="0" applyNumberFormat="1" applyBorder="1"/>
    <xf numFmtId="164" fontId="0" fillId="0" borderId="14" xfId="0" applyNumberFormat="1" applyBorder="1"/>
    <xf numFmtId="165" fontId="0" fillId="0" borderId="0" xfId="0" applyNumberFormat="1"/>
    <xf numFmtId="0" fontId="23" fillId="0" borderId="0" xfId="0" applyFont="1"/>
    <xf numFmtId="165" fontId="21" fillId="0" borderId="0" xfId="0" applyNumberFormat="1" applyFont="1"/>
    <xf numFmtId="170" fontId="0" fillId="4" borderId="12" xfId="0" applyNumberFormat="1" applyFill="1" applyBorder="1"/>
    <xf numFmtId="3" fontId="11" fillId="0" borderId="20" xfId="0" applyNumberFormat="1" applyFont="1" applyBorder="1"/>
    <xf numFmtId="3" fontId="5" fillId="6" borderId="8" xfId="1" applyNumberFormat="1" applyFont="1" applyFill="1" applyBorder="1"/>
    <xf numFmtId="3" fontId="12" fillId="6" borderId="5" xfId="1" applyNumberFormat="1" applyFont="1" applyFill="1" applyBorder="1"/>
    <xf numFmtId="3" fontId="11" fillId="0" borderId="3" xfId="3" applyNumberFormat="1" applyFont="1" applyBorder="1" applyAlignment="1">
      <alignment horizontal="right"/>
    </xf>
    <xf numFmtId="0" fontId="24" fillId="0" borderId="21" xfId="0" applyFont="1" applyBorder="1" applyAlignment="1">
      <alignment vertical="center"/>
    </xf>
    <xf numFmtId="0" fontId="25" fillId="0" borderId="22" xfId="0" applyFont="1" applyBorder="1" applyAlignment="1">
      <alignment horizontal="right" vertical="center"/>
    </xf>
    <xf numFmtId="0" fontId="25" fillId="0" borderId="23" xfId="0" applyFont="1" applyBorder="1" applyAlignment="1">
      <alignment vertical="center"/>
    </xf>
    <xf numFmtId="9" fontId="24" fillId="0" borderId="24" xfId="0" applyNumberFormat="1" applyFont="1" applyBorder="1" applyAlignment="1">
      <alignment horizontal="right" vertical="center"/>
    </xf>
    <xf numFmtId="165" fontId="24" fillId="0" borderId="24" xfId="0" applyNumberFormat="1" applyFont="1" applyBorder="1" applyAlignment="1">
      <alignment horizontal="right" vertical="center"/>
    </xf>
    <xf numFmtId="170" fontId="24" fillId="0" borderId="24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9" fontId="24" fillId="0" borderId="24" xfId="3" applyFont="1" applyBorder="1" applyAlignment="1">
      <alignment horizontal="right" vertical="center"/>
    </xf>
    <xf numFmtId="9" fontId="4" fillId="0" borderId="0" xfId="3" applyFont="1" applyFill="1" applyBorder="1"/>
    <xf numFmtId="164" fontId="16" fillId="0" borderId="0" xfId="1" applyNumberFormat="1" applyFont="1" applyFill="1" applyBorder="1"/>
    <xf numFmtId="9" fontId="5" fillId="0" borderId="0" xfId="3" applyFont="1" applyFill="1" applyBorder="1"/>
    <xf numFmtId="164" fontId="16" fillId="0" borderId="16" xfId="1" applyNumberFormat="1" applyFont="1" applyFill="1" applyBorder="1"/>
    <xf numFmtId="164" fontId="17" fillId="0" borderId="3" xfId="1" applyNumberFormat="1" applyFont="1" applyFill="1" applyBorder="1"/>
    <xf numFmtId="9" fontId="11" fillId="0" borderId="3" xfId="3" applyFont="1" applyFill="1" applyBorder="1"/>
    <xf numFmtId="9" fontId="12" fillId="0" borderId="3" xfId="3" applyFont="1" applyFill="1" applyBorder="1"/>
    <xf numFmtId="3" fontId="12" fillId="6" borderId="3" xfId="1" applyNumberFormat="1" applyFont="1" applyFill="1" applyBorder="1"/>
    <xf numFmtId="9" fontId="12" fillId="0" borderId="17" xfId="3" applyFont="1" applyFill="1" applyBorder="1"/>
    <xf numFmtId="164" fontId="17" fillId="0" borderId="17" xfId="1" applyNumberFormat="1" applyFont="1" applyFill="1" applyBorder="1"/>
    <xf numFmtId="3" fontId="5" fillId="6" borderId="0" xfId="1" applyNumberFormat="1" applyFont="1" applyFill="1"/>
    <xf numFmtId="3" fontId="11" fillId="0" borderId="7" xfId="1" applyNumberFormat="1" applyFont="1" applyFill="1" applyBorder="1"/>
    <xf numFmtId="9" fontId="5" fillId="0" borderId="16" xfId="3" applyFont="1" applyFill="1" applyBorder="1"/>
    <xf numFmtId="164" fontId="16" fillId="0" borderId="0" xfId="1" applyNumberFormat="1" applyFont="1" applyFill="1"/>
    <xf numFmtId="0" fontId="26" fillId="0" borderId="0" xfId="0" applyFont="1"/>
  </cellXfs>
  <cellStyles count="9">
    <cellStyle name="Normal 2" xfId="2" xr:uid="{00000000-0005-0000-0000-000000000000}"/>
    <cellStyle name="Обычный" xfId="0" builtinId="0"/>
    <cellStyle name="Обычный_Лист1" xfId="8" xr:uid="{00000000-0005-0000-0000-000002000000}"/>
    <cellStyle name="Обычный_Лист2" xfId="4" xr:uid="{00000000-0005-0000-0000-000003000000}"/>
    <cellStyle name="Обычный_Лист3" xfId="5" xr:uid="{00000000-0005-0000-0000-000004000000}"/>
    <cellStyle name="Обычный_Лист4" xfId="6" xr:uid="{00000000-0005-0000-0000-000005000000}"/>
    <cellStyle name="Обычный_Лист5" xfId="7" xr:uid="{00000000-0005-0000-0000-000006000000}"/>
    <cellStyle name="Процентный" xfId="3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workbookViewId="0"/>
  </sheetViews>
  <sheetFormatPr defaultRowHeight="15" x14ac:dyDescent="0.25"/>
  <sheetData>
    <row r="1" spans="1:2" x14ac:dyDescent="0.25">
      <c r="B1" t="s">
        <v>8</v>
      </c>
    </row>
    <row r="2" spans="1:2" x14ac:dyDescent="0.25"/>
    <row r="3" spans="1:2" x14ac:dyDescent="0.25"/>
    <row r="4" spans="1:2" x14ac:dyDescent="0.25"/>
    <row r="5" spans="1:2" x14ac:dyDescent="0.25"/>
    <row r="6" spans="1:2" x14ac:dyDescent="0.25"/>
    <row r="7" spans="1:2" x14ac:dyDescent="0.25"/>
    <row r="8" spans="1:2" x14ac:dyDescent="0.25"/>
    <row r="9" spans="1:2" x14ac:dyDescent="0.25"/>
    <row r="10" spans="1:2" x14ac:dyDescent="0.25"/>
    <row r="11" spans="1:2" x14ac:dyDescent="0.25"/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showGridLines="0" workbookViewId="0">
      <selection activeCell="P5" sqref="P5"/>
    </sheetView>
  </sheetViews>
  <sheetFormatPr defaultRowHeight="15" x14ac:dyDescent="0.25"/>
  <cols>
    <col min="1" max="1" width="44.7109375" customWidth="1"/>
    <col min="2" max="3" width="11.7109375" bestFit="1" customWidth="1"/>
    <col min="4" max="4" width="9.5703125" bestFit="1" customWidth="1"/>
    <col min="5" max="5" width="8.7109375" bestFit="1" customWidth="1"/>
    <col min="6" max="6" width="8.28515625" bestFit="1" customWidth="1"/>
  </cols>
  <sheetData>
    <row r="1" spans="1:7" ht="45" x14ac:dyDescent="0.25">
      <c r="A1" s="93" t="s">
        <v>220</v>
      </c>
      <c r="B1" s="94" t="s">
        <v>221</v>
      </c>
      <c r="C1" s="94" t="s">
        <v>222</v>
      </c>
      <c r="D1" s="94" t="s">
        <v>223</v>
      </c>
      <c r="E1" s="94" t="s">
        <v>224</v>
      </c>
      <c r="F1" s="94" t="s">
        <v>225</v>
      </c>
    </row>
    <row r="2" spans="1:7" x14ac:dyDescent="0.25">
      <c r="A2" s="95" t="s">
        <v>226</v>
      </c>
      <c r="B2" s="96">
        <v>1576952.68</v>
      </c>
      <c r="C2" s="96">
        <v>1576952.68</v>
      </c>
      <c r="D2" s="97">
        <v>240</v>
      </c>
      <c r="E2" s="98"/>
      <c r="F2" s="98"/>
    </row>
    <row r="3" spans="1:7" x14ac:dyDescent="0.25">
      <c r="A3" s="95" t="s">
        <v>227</v>
      </c>
      <c r="B3" s="96">
        <v>24905808.859999999</v>
      </c>
      <c r="C3" s="96">
        <v>24911205.879999999</v>
      </c>
      <c r="D3" s="99">
        <v>12062.48</v>
      </c>
      <c r="E3" s="96">
        <v>5397.02</v>
      </c>
      <c r="F3" s="100">
        <v>0.02</v>
      </c>
    </row>
    <row r="4" spans="1:7" x14ac:dyDescent="0.25">
      <c r="A4" s="95" t="s">
        <v>228</v>
      </c>
      <c r="B4" s="96">
        <v>24409.08</v>
      </c>
      <c r="C4" s="96">
        <v>24409.25</v>
      </c>
      <c r="D4" s="97">
        <v>645</v>
      </c>
      <c r="E4" s="100">
        <v>0.17</v>
      </c>
      <c r="F4" s="100">
        <v>0</v>
      </c>
    </row>
    <row r="5" spans="1:7" x14ac:dyDescent="0.25">
      <c r="A5" s="95" t="s">
        <v>229</v>
      </c>
      <c r="B5" s="96">
        <v>1593.06</v>
      </c>
      <c r="C5" s="96">
        <v>1593.06</v>
      </c>
      <c r="D5" s="97">
        <v>8</v>
      </c>
      <c r="E5" s="98"/>
      <c r="F5" s="98"/>
    </row>
    <row r="6" spans="1:7" x14ac:dyDescent="0.25">
      <c r="A6" s="95" t="s">
        <v>230</v>
      </c>
      <c r="B6" s="100">
        <v>214.09</v>
      </c>
      <c r="C6" s="98"/>
      <c r="D6" s="97">
        <v>1</v>
      </c>
      <c r="E6" s="100">
        <v>-214.09</v>
      </c>
      <c r="F6" s="98"/>
    </row>
    <row r="7" spans="1:7" x14ac:dyDescent="0.25">
      <c r="A7" s="95" t="s">
        <v>231</v>
      </c>
      <c r="B7" s="96">
        <v>39004815.840000004</v>
      </c>
      <c r="C7" s="96">
        <v>39092815.859999999</v>
      </c>
      <c r="D7" s="97">
        <v>21</v>
      </c>
      <c r="E7" s="96">
        <v>88000.02</v>
      </c>
      <c r="F7" s="100">
        <v>0.23</v>
      </c>
    </row>
    <row r="8" spans="1:7" x14ac:dyDescent="0.25">
      <c r="A8" s="95" t="s">
        <v>232</v>
      </c>
      <c r="B8" s="100">
        <v>151.47999999999999</v>
      </c>
      <c r="C8" s="100">
        <v>151.47999999999999</v>
      </c>
      <c r="D8" s="97">
        <v>1</v>
      </c>
      <c r="E8" s="98"/>
      <c r="F8" s="98"/>
    </row>
    <row r="9" spans="1:7" ht="22.5" x14ac:dyDescent="0.25">
      <c r="A9" s="95" t="s">
        <v>233</v>
      </c>
      <c r="B9" s="96">
        <v>39619147.170000002</v>
      </c>
      <c r="C9" s="96">
        <v>39619147.170000002</v>
      </c>
      <c r="D9" s="99">
        <v>19847.5</v>
      </c>
      <c r="E9" s="98"/>
      <c r="F9" s="98"/>
      <c r="G9">
        <v>1</v>
      </c>
    </row>
    <row r="10" spans="1:7" x14ac:dyDescent="0.25">
      <c r="A10" s="95" t="s">
        <v>234</v>
      </c>
      <c r="B10" s="96">
        <v>586550</v>
      </c>
      <c r="C10" s="96">
        <v>586550</v>
      </c>
      <c r="D10" s="99">
        <v>1486</v>
      </c>
      <c r="E10" s="98"/>
      <c r="F10" s="98"/>
      <c r="G10">
        <v>1</v>
      </c>
    </row>
    <row r="11" spans="1:7" x14ac:dyDescent="0.25">
      <c r="A11" s="95" t="s">
        <v>235</v>
      </c>
      <c r="B11" s="96">
        <v>3572730</v>
      </c>
      <c r="C11" s="96">
        <v>3572730</v>
      </c>
      <c r="D11" s="99">
        <v>8496</v>
      </c>
      <c r="E11" s="98"/>
      <c r="F11" s="98"/>
      <c r="G11">
        <v>1</v>
      </c>
    </row>
    <row r="12" spans="1:7" x14ac:dyDescent="0.25">
      <c r="A12" s="95" t="s">
        <v>236</v>
      </c>
      <c r="B12" s="96">
        <v>1813953.65</v>
      </c>
      <c r="C12" s="96">
        <v>1813953.65</v>
      </c>
      <c r="D12" s="99">
        <v>3718.37</v>
      </c>
      <c r="E12" s="98"/>
      <c r="F12" s="98"/>
      <c r="G12">
        <v>1</v>
      </c>
    </row>
    <row r="13" spans="1:7" x14ac:dyDescent="0.25">
      <c r="A13" s="95" t="s">
        <v>237</v>
      </c>
      <c r="B13" s="96">
        <v>7349670</v>
      </c>
      <c r="C13" s="96">
        <v>7349670</v>
      </c>
      <c r="D13" s="99">
        <v>16362</v>
      </c>
      <c r="E13" s="98"/>
      <c r="F13" s="98"/>
      <c r="G13">
        <v>1</v>
      </c>
    </row>
    <row r="14" spans="1:7" ht="22.5" x14ac:dyDescent="0.25">
      <c r="A14" s="95" t="s">
        <v>238</v>
      </c>
      <c r="B14" s="96">
        <v>175770</v>
      </c>
      <c r="C14" s="96">
        <v>175770</v>
      </c>
      <c r="D14" s="97">
        <v>558</v>
      </c>
      <c r="E14" s="98"/>
      <c r="F14" s="98"/>
      <c r="G14">
        <v>1</v>
      </c>
    </row>
    <row r="15" spans="1:7" ht="22.5" x14ac:dyDescent="0.25">
      <c r="A15" s="95" t="s">
        <v>238</v>
      </c>
      <c r="B15" s="96">
        <v>946890</v>
      </c>
      <c r="C15" s="96">
        <v>946890</v>
      </c>
      <c r="D15" s="99">
        <v>3006</v>
      </c>
      <c r="E15" s="98"/>
      <c r="F15" s="98"/>
      <c r="G15">
        <v>1</v>
      </c>
    </row>
    <row r="16" spans="1:7" ht="22.5" x14ac:dyDescent="0.25">
      <c r="A16" s="95" t="s">
        <v>239</v>
      </c>
      <c r="B16" s="96">
        <v>3392940</v>
      </c>
      <c r="C16" s="96">
        <v>3392940</v>
      </c>
      <c r="D16" s="99">
        <v>8434</v>
      </c>
      <c r="E16" s="98"/>
      <c r="F16" s="98"/>
      <c r="G16">
        <v>1</v>
      </c>
    </row>
    <row r="17" spans="1:7" ht="22.5" x14ac:dyDescent="0.25">
      <c r="A17" s="95" t="s">
        <v>240</v>
      </c>
      <c r="B17" s="96">
        <v>598406.25</v>
      </c>
      <c r="C17" s="96">
        <v>598406.25</v>
      </c>
      <c r="D17" s="99">
        <v>1595.75</v>
      </c>
      <c r="E17" s="98"/>
      <c r="F17" s="98"/>
      <c r="G17">
        <v>1</v>
      </c>
    </row>
    <row r="18" spans="1:7" ht="22.5" x14ac:dyDescent="0.25">
      <c r="A18" s="95" t="s">
        <v>241</v>
      </c>
      <c r="B18" s="96">
        <v>199338.5</v>
      </c>
      <c r="C18" s="96">
        <v>199338.5</v>
      </c>
      <c r="D18" s="97">
        <v>524.57500000000005</v>
      </c>
      <c r="E18" s="98"/>
      <c r="F18" s="98"/>
      <c r="G18">
        <v>1</v>
      </c>
    </row>
    <row r="19" spans="1:7" ht="22.5" x14ac:dyDescent="0.25">
      <c r="A19" s="95" t="s">
        <v>242</v>
      </c>
      <c r="B19" s="96">
        <v>693857</v>
      </c>
      <c r="C19" s="96">
        <v>693857</v>
      </c>
      <c r="D19" s="99">
        <v>1756.6</v>
      </c>
      <c r="E19" s="98"/>
      <c r="F19" s="98"/>
      <c r="G19">
        <v>1</v>
      </c>
    </row>
    <row r="20" spans="1:7" ht="22.5" x14ac:dyDescent="0.25">
      <c r="A20" s="95" t="s">
        <v>243</v>
      </c>
      <c r="B20" s="96">
        <v>403400.25</v>
      </c>
      <c r="C20" s="96">
        <v>403400.25</v>
      </c>
      <c r="D20" s="97">
        <v>996.05</v>
      </c>
      <c r="E20" s="98"/>
      <c r="F20" s="98"/>
      <c r="G20">
        <v>1</v>
      </c>
    </row>
    <row r="21" spans="1:7" ht="22.5" x14ac:dyDescent="0.25">
      <c r="A21" s="95" t="s">
        <v>244</v>
      </c>
      <c r="B21" s="96">
        <v>388211.75</v>
      </c>
      <c r="C21" s="96">
        <v>388211.75</v>
      </c>
      <c r="D21" s="97">
        <v>935.45</v>
      </c>
      <c r="E21" s="98"/>
      <c r="F21" s="98"/>
      <c r="G21">
        <v>1</v>
      </c>
    </row>
    <row r="22" spans="1:7" ht="22.5" x14ac:dyDescent="0.25">
      <c r="A22" s="95" t="s">
        <v>245</v>
      </c>
      <c r="B22" s="96">
        <v>26864</v>
      </c>
      <c r="C22" s="96">
        <v>26864</v>
      </c>
      <c r="D22" s="97">
        <v>58.4</v>
      </c>
      <c r="E22" s="98"/>
      <c r="F22" s="98"/>
      <c r="G22">
        <v>1</v>
      </c>
    </row>
    <row r="23" spans="1:7" ht="22.5" x14ac:dyDescent="0.25">
      <c r="A23" s="95" t="s">
        <v>246</v>
      </c>
      <c r="B23" s="96">
        <v>3475500</v>
      </c>
      <c r="C23" s="96">
        <v>3666900</v>
      </c>
      <c r="D23" s="99">
        <v>14694</v>
      </c>
      <c r="E23" s="96">
        <v>191400</v>
      </c>
      <c r="F23" s="100">
        <v>5.22</v>
      </c>
      <c r="G23">
        <v>1</v>
      </c>
    </row>
    <row r="24" spans="1:7" ht="22.5" x14ac:dyDescent="0.25">
      <c r="A24" s="95" t="s">
        <v>246</v>
      </c>
      <c r="B24" s="96">
        <v>1938090</v>
      </c>
      <c r="C24" s="96">
        <v>2296140</v>
      </c>
      <c r="D24" s="99">
        <v>7806</v>
      </c>
      <c r="E24" s="96">
        <v>358050</v>
      </c>
      <c r="F24" s="100">
        <v>15.59</v>
      </c>
      <c r="G24">
        <v>1</v>
      </c>
    </row>
    <row r="25" spans="1:7" ht="22.5" x14ac:dyDescent="0.25">
      <c r="A25" s="95" t="s">
        <v>247</v>
      </c>
      <c r="B25" s="96">
        <v>942180.32</v>
      </c>
      <c r="C25" s="96">
        <v>942180.32</v>
      </c>
      <c r="D25" s="99">
        <v>1954.73</v>
      </c>
      <c r="E25" s="98"/>
      <c r="F25" s="98"/>
      <c r="G25">
        <v>1</v>
      </c>
    </row>
    <row r="26" spans="1:7" ht="22.5" x14ac:dyDescent="0.25">
      <c r="A26" s="95" t="s">
        <v>248</v>
      </c>
      <c r="B26" s="96">
        <v>50851396.020000003</v>
      </c>
      <c r="C26" s="96">
        <v>50851396.020000003</v>
      </c>
      <c r="D26" s="99">
        <v>106448.58</v>
      </c>
      <c r="E26" s="98"/>
      <c r="F26" s="98"/>
      <c r="G26">
        <v>1</v>
      </c>
    </row>
    <row r="27" spans="1:7" ht="22.5" x14ac:dyDescent="0.25">
      <c r="A27" s="95" t="s">
        <v>249</v>
      </c>
      <c r="B27" s="96">
        <v>1121234.73</v>
      </c>
      <c r="C27" s="96">
        <v>1121234.73</v>
      </c>
      <c r="D27" s="99">
        <v>2484.85</v>
      </c>
      <c r="E27" s="98"/>
      <c r="F27" s="98"/>
      <c r="G27">
        <v>1</v>
      </c>
    </row>
    <row r="28" spans="1:7" ht="22.5" x14ac:dyDescent="0.25">
      <c r="A28" s="95" t="s">
        <v>250</v>
      </c>
      <c r="B28" s="96">
        <v>393600</v>
      </c>
      <c r="C28" s="96">
        <v>393600</v>
      </c>
      <c r="D28" s="97">
        <v>2</v>
      </c>
      <c r="E28" s="98"/>
      <c r="F28" s="98"/>
    </row>
    <row r="29" spans="1:7" ht="22.5" x14ac:dyDescent="0.25">
      <c r="A29" s="95" t="s">
        <v>251</v>
      </c>
      <c r="B29" s="96">
        <v>3695760</v>
      </c>
      <c r="C29" s="96">
        <v>3695760</v>
      </c>
      <c r="D29" s="97">
        <v>9</v>
      </c>
      <c r="E29" s="98"/>
      <c r="F29" s="98"/>
    </row>
    <row r="30" spans="1:7" x14ac:dyDescent="0.25">
      <c r="A30" s="95" t="s">
        <v>252</v>
      </c>
      <c r="B30" s="96">
        <v>2720900</v>
      </c>
      <c r="C30" s="96">
        <v>2720900</v>
      </c>
      <c r="D30" s="99">
        <v>37720</v>
      </c>
      <c r="E30" s="98"/>
      <c r="F30" s="98"/>
    </row>
    <row r="31" spans="1:7" ht="22.5" x14ac:dyDescent="0.25">
      <c r="A31" s="95" t="s">
        <v>253</v>
      </c>
      <c r="B31" s="96">
        <v>30000</v>
      </c>
      <c r="C31" s="96">
        <v>30000</v>
      </c>
      <c r="D31" s="97">
        <v>1</v>
      </c>
      <c r="E31" s="98"/>
      <c r="F31" s="98"/>
    </row>
    <row r="32" spans="1:7" x14ac:dyDescent="0.25">
      <c r="A32" s="95" t="s">
        <v>254</v>
      </c>
      <c r="B32" s="96">
        <v>1754084.16</v>
      </c>
      <c r="C32" s="96">
        <v>1754084.16</v>
      </c>
      <c r="D32" s="97">
        <v>15</v>
      </c>
      <c r="E32" s="98"/>
      <c r="F32" s="98"/>
    </row>
    <row r="33" spans="1:7" x14ac:dyDescent="0.25">
      <c r="A33" s="95" t="s">
        <v>255</v>
      </c>
      <c r="B33" s="96">
        <v>9902172.9600000009</v>
      </c>
      <c r="C33" s="96">
        <v>9902172.9600000009</v>
      </c>
      <c r="D33" s="97">
        <v>15</v>
      </c>
      <c r="E33" s="98"/>
      <c r="F33" s="98"/>
    </row>
    <row r="34" spans="1:7" ht="22.5" x14ac:dyDescent="0.25">
      <c r="A34" s="95" t="s">
        <v>256</v>
      </c>
      <c r="B34" s="96">
        <v>4543320.96</v>
      </c>
      <c r="C34" s="96">
        <v>4543320.96</v>
      </c>
      <c r="D34" s="97">
        <v>9</v>
      </c>
      <c r="E34" s="98"/>
      <c r="F34" s="98"/>
    </row>
    <row r="35" spans="1:7" x14ac:dyDescent="0.25">
      <c r="A35" s="95" t="s">
        <v>257</v>
      </c>
      <c r="B35" s="96">
        <v>2257461.25</v>
      </c>
      <c r="C35" s="96">
        <v>2257461.25</v>
      </c>
      <c r="D35" s="99">
        <v>4752.55</v>
      </c>
      <c r="E35" s="98"/>
      <c r="F35" s="98"/>
      <c r="G35">
        <v>1</v>
      </c>
    </row>
    <row r="36" spans="1:7" x14ac:dyDescent="0.25">
      <c r="A36" s="95" t="s">
        <v>258</v>
      </c>
      <c r="B36" s="96">
        <v>19194591.899999999</v>
      </c>
      <c r="C36" s="96">
        <v>19194591.899999999</v>
      </c>
      <c r="D36" s="99">
        <v>71657</v>
      </c>
      <c r="E36" s="98"/>
      <c r="F36" s="98"/>
      <c r="G36">
        <v>1</v>
      </c>
    </row>
    <row r="37" spans="1:7" x14ac:dyDescent="0.25">
      <c r="A37" s="95" t="s">
        <v>259</v>
      </c>
      <c r="B37" s="96">
        <v>188289018.69999999</v>
      </c>
      <c r="C37" s="96">
        <v>188289018.69999999</v>
      </c>
      <c r="D37" s="99">
        <v>509053.8</v>
      </c>
      <c r="E37" s="98"/>
      <c r="F37" s="98"/>
      <c r="G37">
        <v>1</v>
      </c>
    </row>
    <row r="38" spans="1:7" x14ac:dyDescent="0.25">
      <c r="A38" s="95" t="s">
        <v>260</v>
      </c>
      <c r="B38" s="96">
        <v>1692098.5</v>
      </c>
      <c r="C38" s="96">
        <v>1692098.5</v>
      </c>
      <c r="D38" s="99">
        <v>8762.1</v>
      </c>
      <c r="E38" s="98"/>
      <c r="F38" s="98"/>
      <c r="G38">
        <v>1</v>
      </c>
    </row>
    <row r="39" spans="1:7" x14ac:dyDescent="0.25">
      <c r="A39" s="95" t="s">
        <v>261</v>
      </c>
      <c r="B39" s="96">
        <v>35196662.399999999</v>
      </c>
      <c r="C39" s="96">
        <v>35196662.399999999</v>
      </c>
      <c r="D39" s="97">
        <v>15</v>
      </c>
      <c r="E39" s="98"/>
      <c r="F39" s="98"/>
    </row>
    <row r="40" spans="1:7" x14ac:dyDescent="0.25">
      <c r="A40" s="95" t="s">
        <v>262</v>
      </c>
      <c r="B40" s="96">
        <v>-73800</v>
      </c>
      <c r="C40" s="98"/>
      <c r="D40" s="97">
        <v>-246</v>
      </c>
      <c r="E40" s="96">
        <v>73800</v>
      </c>
      <c r="F40" s="98"/>
    </row>
    <row r="41" spans="1:7" x14ac:dyDescent="0.25">
      <c r="A41" s="95" t="s">
        <v>263</v>
      </c>
      <c r="B41" s="96">
        <v>480000</v>
      </c>
      <c r="C41" s="96">
        <v>480000</v>
      </c>
      <c r="D41" s="97">
        <v>600</v>
      </c>
      <c r="E41" s="98"/>
      <c r="F41" s="98"/>
    </row>
    <row r="42" spans="1:7" x14ac:dyDescent="0.25">
      <c r="A42" s="101"/>
      <c r="B42" s="101"/>
      <c r="C42" s="101"/>
      <c r="D42" s="101"/>
      <c r="E42" s="101"/>
      <c r="F42" s="101"/>
    </row>
    <row r="43" spans="1:7" x14ac:dyDescent="0.25">
      <c r="A43" s="93" t="s">
        <v>264</v>
      </c>
      <c r="B43" s="102">
        <v>453685945.56</v>
      </c>
      <c r="C43" s="102">
        <v>454402378.68000001</v>
      </c>
      <c r="D43" s="103">
        <v>846506.78500000003</v>
      </c>
      <c r="E43" s="102">
        <v>716433.12</v>
      </c>
      <c r="F43" s="104">
        <v>0.16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1"/>
  <sheetViews>
    <sheetView showGridLines="0" topLeftCell="A58" workbookViewId="0">
      <selection activeCell="P5" sqref="P5"/>
    </sheetView>
  </sheetViews>
  <sheetFormatPr defaultRowHeight="15" x14ac:dyDescent="0.25"/>
  <cols>
    <col min="1" max="1" width="59.5703125" customWidth="1"/>
    <col min="2" max="3" width="13.28515625" bestFit="1" customWidth="1"/>
    <col min="4" max="4" width="10.7109375" bestFit="1" customWidth="1"/>
    <col min="5" max="5" width="8.7109375" bestFit="1" customWidth="1"/>
    <col min="6" max="6" width="8.28515625" bestFit="1" customWidth="1"/>
  </cols>
  <sheetData>
    <row r="1" spans="1:7" ht="33.75" x14ac:dyDescent="0.25">
      <c r="A1" s="105" t="s">
        <v>220</v>
      </c>
      <c r="B1" s="106" t="s">
        <v>221</v>
      </c>
      <c r="C1" s="106" t="s">
        <v>222</v>
      </c>
      <c r="D1" s="106" t="s">
        <v>223</v>
      </c>
      <c r="E1" s="106" t="s">
        <v>224</v>
      </c>
      <c r="F1" s="106" t="s">
        <v>225</v>
      </c>
    </row>
    <row r="2" spans="1:7" x14ac:dyDescent="0.25">
      <c r="A2" s="107" t="s">
        <v>265</v>
      </c>
      <c r="B2" s="108">
        <v>1298</v>
      </c>
      <c r="C2" s="108">
        <v>1298</v>
      </c>
      <c r="D2" s="109">
        <v>2</v>
      </c>
      <c r="E2" s="110"/>
      <c r="F2" s="110"/>
    </row>
    <row r="3" spans="1:7" x14ac:dyDescent="0.25">
      <c r="A3" s="107" t="s">
        <v>226</v>
      </c>
      <c r="B3" s="108">
        <v>3298765.99</v>
      </c>
      <c r="C3" s="108">
        <v>3298766.09</v>
      </c>
      <c r="D3" s="109">
        <v>527</v>
      </c>
      <c r="E3" s="111">
        <v>0.1</v>
      </c>
      <c r="F3" s="111">
        <v>0</v>
      </c>
    </row>
    <row r="4" spans="1:7" x14ac:dyDescent="0.25">
      <c r="A4" s="107" t="s">
        <v>266</v>
      </c>
      <c r="B4" s="108">
        <v>84714.03</v>
      </c>
      <c r="C4" s="108">
        <v>84714.02</v>
      </c>
      <c r="D4" s="109">
        <v>3</v>
      </c>
      <c r="E4" s="111">
        <v>-0.01</v>
      </c>
      <c r="F4" s="111">
        <v>0</v>
      </c>
    </row>
    <row r="5" spans="1:7" x14ac:dyDescent="0.25">
      <c r="A5" s="107" t="s">
        <v>227</v>
      </c>
      <c r="B5" s="108">
        <v>50499159.079999998</v>
      </c>
      <c r="C5" s="108">
        <v>50506867.259999998</v>
      </c>
      <c r="D5" s="112">
        <v>25628.17</v>
      </c>
      <c r="E5" s="108">
        <v>7708.18</v>
      </c>
      <c r="F5" s="111">
        <v>0.02</v>
      </c>
    </row>
    <row r="6" spans="1:7" x14ac:dyDescent="0.25">
      <c r="A6" s="107" t="s">
        <v>228</v>
      </c>
      <c r="B6" s="108">
        <v>24409.08</v>
      </c>
      <c r="C6" s="108">
        <v>24409.25</v>
      </c>
      <c r="D6" s="109">
        <v>645</v>
      </c>
      <c r="E6" s="111">
        <v>0.17</v>
      </c>
      <c r="F6" s="111">
        <v>0</v>
      </c>
    </row>
    <row r="7" spans="1:7" x14ac:dyDescent="0.25">
      <c r="A7" s="107" t="s">
        <v>229</v>
      </c>
      <c r="B7" s="108">
        <v>1593.06</v>
      </c>
      <c r="C7" s="108">
        <v>1593.06</v>
      </c>
      <c r="D7" s="109">
        <v>8</v>
      </c>
      <c r="E7" s="110"/>
      <c r="F7" s="110"/>
    </row>
    <row r="8" spans="1:7" x14ac:dyDescent="0.25">
      <c r="A8" s="107" t="s">
        <v>230</v>
      </c>
      <c r="B8" s="108">
        <v>1067.07</v>
      </c>
      <c r="C8" s="111">
        <v>852.98</v>
      </c>
      <c r="D8" s="109">
        <v>5</v>
      </c>
      <c r="E8" s="111">
        <v>-214.09</v>
      </c>
      <c r="F8" s="111">
        <v>-25.1</v>
      </c>
    </row>
    <row r="9" spans="1:7" x14ac:dyDescent="0.25">
      <c r="A9" s="107" t="s">
        <v>231</v>
      </c>
      <c r="B9" s="108">
        <v>45449930.07</v>
      </c>
      <c r="C9" s="108">
        <v>45537930.100000001</v>
      </c>
      <c r="D9" s="109">
        <v>25</v>
      </c>
      <c r="E9" s="108">
        <v>88000.03</v>
      </c>
      <c r="F9" s="111">
        <v>0.19</v>
      </c>
    </row>
    <row r="10" spans="1:7" x14ac:dyDescent="0.25">
      <c r="A10" s="107" t="s">
        <v>232</v>
      </c>
      <c r="B10" s="111">
        <v>310.19</v>
      </c>
      <c r="C10" s="111">
        <v>310.19</v>
      </c>
      <c r="D10" s="109">
        <v>2</v>
      </c>
      <c r="E10" s="110"/>
      <c r="F10" s="110"/>
    </row>
    <row r="11" spans="1:7" x14ac:dyDescent="0.25">
      <c r="A11" s="107" t="s">
        <v>267</v>
      </c>
      <c r="B11" s="108">
        <v>1003</v>
      </c>
      <c r="C11" s="108">
        <v>1003</v>
      </c>
      <c r="D11" s="109">
        <v>1</v>
      </c>
      <c r="E11" s="110"/>
      <c r="F11" s="110"/>
    </row>
    <row r="12" spans="1:7" x14ac:dyDescent="0.25">
      <c r="A12" s="107" t="s">
        <v>268</v>
      </c>
      <c r="B12" s="108">
        <v>2301</v>
      </c>
      <c r="C12" s="108">
        <v>2301</v>
      </c>
      <c r="D12" s="109">
        <v>1</v>
      </c>
      <c r="E12" s="110"/>
      <c r="F12" s="110"/>
    </row>
    <row r="13" spans="1:7" x14ac:dyDescent="0.25">
      <c r="A13" s="107" t="s">
        <v>269</v>
      </c>
      <c r="B13" s="108">
        <v>3186</v>
      </c>
      <c r="C13" s="108">
        <v>3186</v>
      </c>
      <c r="D13" s="109">
        <v>2</v>
      </c>
      <c r="E13" s="110"/>
      <c r="F13" s="110"/>
    </row>
    <row r="14" spans="1:7" x14ac:dyDescent="0.25">
      <c r="A14" s="107" t="s">
        <v>233</v>
      </c>
      <c r="B14" s="108">
        <v>67543092.170000002</v>
      </c>
      <c r="C14" s="108">
        <v>67543092.170000002</v>
      </c>
      <c r="D14" s="112">
        <v>30860.6</v>
      </c>
      <c r="E14" s="110"/>
      <c r="F14" s="110"/>
      <c r="G14">
        <v>1</v>
      </c>
    </row>
    <row r="15" spans="1:7" x14ac:dyDescent="0.25">
      <c r="A15" s="107" t="s">
        <v>270</v>
      </c>
      <c r="B15" s="108">
        <v>20000</v>
      </c>
      <c r="C15" s="108">
        <v>20000</v>
      </c>
      <c r="D15" s="109">
        <v>1</v>
      </c>
      <c r="E15" s="110"/>
      <c r="F15" s="110"/>
    </row>
    <row r="16" spans="1:7" x14ac:dyDescent="0.25">
      <c r="A16" s="107" t="s">
        <v>271</v>
      </c>
      <c r="B16" s="108">
        <v>45950</v>
      </c>
      <c r="C16" s="108">
        <v>45950</v>
      </c>
      <c r="D16" s="109">
        <v>9.19</v>
      </c>
      <c r="E16" s="110"/>
      <c r="F16" s="110"/>
    </row>
    <row r="17" spans="1:7" x14ac:dyDescent="0.25">
      <c r="A17" s="107" t="s">
        <v>272</v>
      </c>
      <c r="B17" s="108">
        <v>49900</v>
      </c>
      <c r="C17" s="108">
        <v>49900</v>
      </c>
      <c r="D17" s="109">
        <v>9.98</v>
      </c>
      <c r="E17" s="110"/>
      <c r="F17" s="110"/>
    </row>
    <row r="18" spans="1:7" x14ac:dyDescent="0.25">
      <c r="A18" s="107" t="s">
        <v>273</v>
      </c>
      <c r="B18" s="108">
        <v>85218.7</v>
      </c>
      <c r="C18" s="108">
        <v>85218.7</v>
      </c>
      <c r="D18" s="109">
        <v>253.06</v>
      </c>
      <c r="E18" s="110"/>
      <c r="F18" s="110"/>
      <c r="G18">
        <v>1</v>
      </c>
    </row>
    <row r="19" spans="1:7" x14ac:dyDescent="0.25">
      <c r="A19" s="107" t="s">
        <v>234</v>
      </c>
      <c r="B19" s="108">
        <v>8293970</v>
      </c>
      <c r="C19" s="108">
        <v>8293970</v>
      </c>
      <c r="D19" s="112">
        <v>26824</v>
      </c>
      <c r="E19" s="110"/>
      <c r="F19" s="110"/>
      <c r="G19">
        <v>1</v>
      </c>
    </row>
    <row r="20" spans="1:7" x14ac:dyDescent="0.25">
      <c r="A20" s="107" t="s">
        <v>274</v>
      </c>
      <c r="B20" s="108">
        <v>3369081.8</v>
      </c>
      <c r="C20" s="108">
        <v>3369081.8</v>
      </c>
      <c r="D20" s="112">
        <v>10423.629999999999</v>
      </c>
      <c r="E20" s="110"/>
      <c r="F20" s="110"/>
      <c r="G20">
        <v>1</v>
      </c>
    </row>
    <row r="21" spans="1:7" x14ac:dyDescent="0.25">
      <c r="A21" s="107" t="s">
        <v>275</v>
      </c>
      <c r="B21" s="108">
        <v>1338048.1499999999</v>
      </c>
      <c r="C21" s="108">
        <v>1338048.1499999999</v>
      </c>
      <c r="D21" s="112">
        <v>2860.91</v>
      </c>
      <c r="E21" s="110"/>
      <c r="F21" s="110"/>
      <c r="G21">
        <v>1</v>
      </c>
    </row>
    <row r="22" spans="1:7" x14ac:dyDescent="0.25">
      <c r="A22" s="107" t="s">
        <v>235</v>
      </c>
      <c r="B22" s="108">
        <v>6029500</v>
      </c>
      <c r="C22" s="108">
        <v>6029500</v>
      </c>
      <c r="D22" s="112">
        <v>12999</v>
      </c>
      <c r="E22" s="110"/>
      <c r="F22" s="110"/>
      <c r="G22">
        <v>1</v>
      </c>
    </row>
    <row r="23" spans="1:7" x14ac:dyDescent="0.25">
      <c r="A23" s="107" t="s">
        <v>236</v>
      </c>
      <c r="B23" s="108">
        <v>9568117.1300000008</v>
      </c>
      <c r="C23" s="108">
        <v>9568117.1300000008</v>
      </c>
      <c r="D23" s="112">
        <v>18908.259999999998</v>
      </c>
      <c r="E23" s="110"/>
      <c r="F23" s="110"/>
      <c r="G23">
        <v>1</v>
      </c>
    </row>
    <row r="24" spans="1:7" x14ac:dyDescent="0.25">
      <c r="A24" s="107" t="s">
        <v>237</v>
      </c>
      <c r="B24" s="108">
        <v>11610356.199999999</v>
      </c>
      <c r="C24" s="108">
        <v>11610356.199999999</v>
      </c>
      <c r="D24" s="112">
        <v>24335.040000000001</v>
      </c>
      <c r="E24" s="110"/>
      <c r="F24" s="110"/>
      <c r="G24">
        <v>1</v>
      </c>
    </row>
    <row r="25" spans="1:7" x14ac:dyDescent="0.25">
      <c r="A25" s="107" t="s">
        <v>276</v>
      </c>
      <c r="B25" s="108">
        <v>17826031.550000001</v>
      </c>
      <c r="C25" s="108">
        <v>17826031.550000001</v>
      </c>
      <c r="D25" s="112">
        <v>31817.13</v>
      </c>
      <c r="E25" s="110"/>
      <c r="F25" s="110"/>
      <c r="G25">
        <v>1</v>
      </c>
    </row>
    <row r="26" spans="1:7" x14ac:dyDescent="0.25">
      <c r="A26" s="107" t="s">
        <v>277</v>
      </c>
      <c r="B26" s="108">
        <v>4261414.8</v>
      </c>
      <c r="C26" s="108">
        <v>4261414.8</v>
      </c>
      <c r="D26" s="112">
        <v>7560.42</v>
      </c>
      <c r="E26" s="110"/>
      <c r="F26" s="110"/>
      <c r="G26">
        <v>1</v>
      </c>
    </row>
    <row r="27" spans="1:7" x14ac:dyDescent="0.25">
      <c r="A27" s="107" t="s">
        <v>278</v>
      </c>
      <c r="B27" s="108">
        <v>190117890.19</v>
      </c>
      <c r="C27" s="108">
        <v>190117890.19</v>
      </c>
      <c r="D27" s="112">
        <v>329384.49</v>
      </c>
      <c r="E27" s="110"/>
      <c r="F27" s="110"/>
      <c r="G27">
        <v>1</v>
      </c>
    </row>
    <row r="28" spans="1:7" x14ac:dyDescent="0.25">
      <c r="A28" s="107" t="s">
        <v>279</v>
      </c>
      <c r="B28" s="108">
        <v>2958537.55</v>
      </c>
      <c r="C28" s="108">
        <v>2958537.55</v>
      </c>
      <c r="D28" s="112">
        <v>4930.29</v>
      </c>
      <c r="E28" s="110"/>
      <c r="F28" s="110"/>
      <c r="G28">
        <v>1</v>
      </c>
    </row>
    <row r="29" spans="1:7" x14ac:dyDescent="0.25">
      <c r="A29" s="107" t="s">
        <v>280</v>
      </c>
      <c r="B29" s="108">
        <v>41421541.380000003</v>
      </c>
      <c r="C29" s="108">
        <v>41421541.380000003</v>
      </c>
      <c r="D29" s="112">
        <v>72219.42</v>
      </c>
      <c r="E29" s="110"/>
      <c r="F29" s="110"/>
      <c r="G29">
        <v>1</v>
      </c>
    </row>
    <row r="30" spans="1:7" x14ac:dyDescent="0.25">
      <c r="A30" s="107" t="s">
        <v>281</v>
      </c>
      <c r="B30" s="108">
        <v>125136.5</v>
      </c>
      <c r="C30" s="108">
        <v>125136.5</v>
      </c>
      <c r="D30" s="109">
        <v>233.9</v>
      </c>
      <c r="E30" s="110"/>
      <c r="F30" s="110"/>
      <c r="G30">
        <v>1</v>
      </c>
    </row>
    <row r="31" spans="1:7" x14ac:dyDescent="0.25">
      <c r="A31" s="107" t="s">
        <v>282</v>
      </c>
      <c r="B31" s="108">
        <v>765000437.05999994</v>
      </c>
      <c r="C31" s="108">
        <v>765000437.05999994</v>
      </c>
      <c r="D31" s="112">
        <v>1293692.149</v>
      </c>
      <c r="E31" s="110"/>
      <c r="F31" s="110"/>
      <c r="G31">
        <v>1</v>
      </c>
    </row>
    <row r="32" spans="1:7" x14ac:dyDescent="0.25">
      <c r="A32" s="107" t="s">
        <v>283</v>
      </c>
      <c r="B32" s="108">
        <v>59618.8</v>
      </c>
      <c r="C32" s="108">
        <v>59618.8</v>
      </c>
      <c r="D32" s="109">
        <v>105.52</v>
      </c>
      <c r="E32" s="110"/>
      <c r="F32" s="110"/>
      <c r="G32">
        <v>1</v>
      </c>
    </row>
    <row r="33" spans="1:7" x14ac:dyDescent="0.25">
      <c r="A33" s="107" t="s">
        <v>284</v>
      </c>
      <c r="B33" s="108">
        <v>30346698.199999999</v>
      </c>
      <c r="C33" s="108">
        <v>30346698.199999999</v>
      </c>
      <c r="D33" s="112">
        <v>49947.68</v>
      </c>
      <c r="E33" s="110"/>
      <c r="F33" s="110"/>
      <c r="G33">
        <v>1</v>
      </c>
    </row>
    <row r="34" spans="1:7" x14ac:dyDescent="0.25">
      <c r="A34" s="107" t="s">
        <v>285</v>
      </c>
      <c r="B34" s="108">
        <v>803796973.42999995</v>
      </c>
      <c r="C34" s="108">
        <v>803796973.42999995</v>
      </c>
      <c r="D34" s="112">
        <v>1276202.3600000001</v>
      </c>
      <c r="E34" s="110"/>
      <c r="F34" s="110"/>
      <c r="G34">
        <v>1</v>
      </c>
    </row>
    <row r="35" spans="1:7" x14ac:dyDescent="0.25">
      <c r="A35" s="107" t="s">
        <v>286</v>
      </c>
      <c r="B35" s="108">
        <v>79218.899999999994</v>
      </c>
      <c r="C35" s="108">
        <v>79218.899999999994</v>
      </c>
      <c r="D35" s="109">
        <v>122.82</v>
      </c>
      <c r="E35" s="110"/>
      <c r="F35" s="110"/>
      <c r="G35">
        <v>1</v>
      </c>
    </row>
    <row r="36" spans="1:7" x14ac:dyDescent="0.25">
      <c r="A36" s="107" t="s">
        <v>287</v>
      </c>
      <c r="B36" s="108">
        <v>7420536.0899999999</v>
      </c>
      <c r="C36" s="108">
        <v>7420536.0899999999</v>
      </c>
      <c r="D36" s="112">
        <v>11838.77</v>
      </c>
      <c r="E36" s="110"/>
      <c r="F36" s="110"/>
      <c r="G36">
        <v>1</v>
      </c>
    </row>
    <row r="37" spans="1:7" x14ac:dyDescent="0.25">
      <c r="A37" s="107" t="s">
        <v>288</v>
      </c>
      <c r="B37" s="108">
        <v>243527101.56</v>
      </c>
      <c r="C37" s="108">
        <v>243527101.56</v>
      </c>
      <c r="D37" s="112">
        <v>376010.94</v>
      </c>
      <c r="E37" s="110"/>
      <c r="F37" s="110"/>
      <c r="G37">
        <v>1</v>
      </c>
    </row>
    <row r="38" spans="1:7" x14ac:dyDescent="0.25">
      <c r="A38" s="107" t="s">
        <v>289</v>
      </c>
      <c r="B38" s="108">
        <v>77874.47</v>
      </c>
      <c r="C38" s="108">
        <v>77874.47</v>
      </c>
      <c r="D38" s="109">
        <v>114.17</v>
      </c>
      <c r="E38" s="110"/>
      <c r="F38" s="110"/>
      <c r="G38">
        <v>1</v>
      </c>
    </row>
    <row r="39" spans="1:7" x14ac:dyDescent="0.25">
      <c r="A39" s="107" t="s">
        <v>290</v>
      </c>
      <c r="B39" s="108">
        <v>961614.38</v>
      </c>
      <c r="C39" s="108">
        <v>961614.38</v>
      </c>
      <c r="D39" s="112">
        <v>1486.17</v>
      </c>
      <c r="E39" s="110"/>
      <c r="F39" s="110"/>
      <c r="G39">
        <v>1</v>
      </c>
    </row>
    <row r="40" spans="1:7" x14ac:dyDescent="0.25">
      <c r="A40" s="107" t="s">
        <v>291</v>
      </c>
      <c r="B40" s="108">
        <v>34467716.409999996</v>
      </c>
      <c r="C40" s="108">
        <v>34467716.409999996</v>
      </c>
      <c r="D40" s="112">
        <v>51593.74</v>
      </c>
      <c r="E40" s="110"/>
      <c r="F40" s="110"/>
      <c r="G40">
        <v>1</v>
      </c>
    </row>
    <row r="41" spans="1:7" x14ac:dyDescent="0.25">
      <c r="A41" s="107" t="s">
        <v>292</v>
      </c>
      <c r="B41" s="108">
        <v>41972.4</v>
      </c>
      <c r="C41" s="108">
        <v>41972.4</v>
      </c>
      <c r="D41" s="109">
        <v>64.08</v>
      </c>
      <c r="E41" s="110"/>
      <c r="F41" s="110"/>
      <c r="G41">
        <v>1</v>
      </c>
    </row>
    <row r="42" spans="1:7" x14ac:dyDescent="0.25">
      <c r="A42" s="107" t="s">
        <v>293</v>
      </c>
      <c r="B42" s="108">
        <v>2942262.84</v>
      </c>
      <c r="C42" s="108">
        <v>2942262.84</v>
      </c>
      <c r="D42" s="112">
        <v>4379.1899999999996</v>
      </c>
      <c r="E42" s="110"/>
      <c r="F42" s="110"/>
      <c r="G42">
        <v>1</v>
      </c>
    </row>
    <row r="43" spans="1:7" x14ac:dyDescent="0.25">
      <c r="A43" s="107" t="s">
        <v>294</v>
      </c>
      <c r="B43" s="108">
        <v>60630</v>
      </c>
      <c r="C43" s="108">
        <v>60630</v>
      </c>
      <c r="D43" s="109">
        <v>86</v>
      </c>
      <c r="E43" s="110"/>
      <c r="F43" s="110"/>
      <c r="G43">
        <v>1</v>
      </c>
    </row>
    <row r="44" spans="1:7" x14ac:dyDescent="0.25">
      <c r="A44" s="107" t="s">
        <v>295</v>
      </c>
      <c r="B44" s="108">
        <v>90968</v>
      </c>
      <c r="C44" s="108">
        <v>90968</v>
      </c>
      <c r="D44" s="109">
        <v>132.80000000000001</v>
      </c>
      <c r="E44" s="110"/>
      <c r="F44" s="110"/>
      <c r="G44">
        <v>1</v>
      </c>
    </row>
    <row r="45" spans="1:7" x14ac:dyDescent="0.25">
      <c r="A45" s="107" t="s">
        <v>238</v>
      </c>
      <c r="B45" s="108">
        <v>175770</v>
      </c>
      <c r="C45" s="108">
        <v>175770</v>
      </c>
      <c r="D45" s="109">
        <v>558</v>
      </c>
      <c r="E45" s="110"/>
      <c r="F45" s="110"/>
      <c r="G45">
        <v>1</v>
      </c>
    </row>
    <row r="46" spans="1:7" x14ac:dyDescent="0.25">
      <c r="A46" s="107" t="s">
        <v>238</v>
      </c>
      <c r="B46" s="108">
        <v>946890</v>
      </c>
      <c r="C46" s="108">
        <v>946890</v>
      </c>
      <c r="D46" s="112">
        <v>3006</v>
      </c>
      <c r="E46" s="110"/>
      <c r="F46" s="110"/>
      <c r="G46">
        <v>1</v>
      </c>
    </row>
    <row r="47" spans="1:7" x14ac:dyDescent="0.25">
      <c r="A47" s="107" t="s">
        <v>239</v>
      </c>
      <c r="B47" s="108">
        <v>20564538</v>
      </c>
      <c r="C47" s="108">
        <v>20564538</v>
      </c>
      <c r="D47" s="112">
        <v>60592</v>
      </c>
      <c r="E47" s="110"/>
      <c r="F47" s="110"/>
      <c r="G47">
        <v>1</v>
      </c>
    </row>
    <row r="48" spans="1:7" ht="22.5" x14ac:dyDescent="0.25">
      <c r="A48" s="107" t="s">
        <v>240</v>
      </c>
      <c r="B48" s="108">
        <v>598406.25</v>
      </c>
      <c r="C48" s="108">
        <v>598406.25</v>
      </c>
      <c r="D48" s="112">
        <v>1595.75</v>
      </c>
      <c r="E48" s="110"/>
      <c r="F48" s="110"/>
      <c r="G48">
        <v>1</v>
      </c>
    </row>
    <row r="49" spans="1:7" x14ac:dyDescent="0.25">
      <c r="A49" s="107" t="s">
        <v>241</v>
      </c>
      <c r="B49" s="108">
        <v>199338.5</v>
      </c>
      <c r="C49" s="108">
        <v>199338.5</v>
      </c>
      <c r="D49" s="109">
        <v>524.57500000000005</v>
      </c>
      <c r="E49" s="110"/>
      <c r="F49" s="110"/>
      <c r="G49">
        <v>1</v>
      </c>
    </row>
    <row r="50" spans="1:7" x14ac:dyDescent="0.25">
      <c r="A50" s="107" t="s">
        <v>242</v>
      </c>
      <c r="B50" s="108">
        <v>693857</v>
      </c>
      <c r="C50" s="108">
        <v>693857</v>
      </c>
      <c r="D50" s="112">
        <v>1756.6</v>
      </c>
      <c r="E50" s="110"/>
      <c r="F50" s="110"/>
      <c r="G50">
        <v>1</v>
      </c>
    </row>
    <row r="51" spans="1:7" x14ac:dyDescent="0.25">
      <c r="A51" s="107" t="s">
        <v>243</v>
      </c>
      <c r="B51" s="108">
        <v>403400.25</v>
      </c>
      <c r="C51" s="108">
        <v>403400.25</v>
      </c>
      <c r="D51" s="109">
        <v>996.05</v>
      </c>
      <c r="E51" s="110"/>
      <c r="F51" s="110"/>
      <c r="G51">
        <v>1</v>
      </c>
    </row>
    <row r="52" spans="1:7" x14ac:dyDescent="0.25">
      <c r="A52" s="107" t="s">
        <v>244</v>
      </c>
      <c r="B52" s="108">
        <v>388211.75</v>
      </c>
      <c r="C52" s="108">
        <v>388211.75</v>
      </c>
      <c r="D52" s="109">
        <v>935.45</v>
      </c>
      <c r="E52" s="110"/>
      <c r="F52" s="110"/>
      <c r="G52">
        <v>1</v>
      </c>
    </row>
    <row r="53" spans="1:7" x14ac:dyDescent="0.25">
      <c r="A53" s="107" t="s">
        <v>245</v>
      </c>
      <c r="B53" s="108">
        <v>26864</v>
      </c>
      <c r="C53" s="108">
        <v>26864</v>
      </c>
      <c r="D53" s="109">
        <v>58.4</v>
      </c>
      <c r="E53" s="110"/>
      <c r="F53" s="110"/>
      <c r="G53">
        <v>1</v>
      </c>
    </row>
    <row r="54" spans="1:7" x14ac:dyDescent="0.25">
      <c r="A54" s="107" t="s">
        <v>246</v>
      </c>
      <c r="B54" s="108">
        <v>3475500</v>
      </c>
      <c r="C54" s="108">
        <v>3666900</v>
      </c>
      <c r="D54" s="112">
        <v>14694</v>
      </c>
      <c r="E54" s="108">
        <v>191400</v>
      </c>
      <c r="F54" s="111">
        <v>5.22</v>
      </c>
      <c r="G54">
        <v>1</v>
      </c>
    </row>
    <row r="55" spans="1:7" x14ac:dyDescent="0.25">
      <c r="A55" s="107" t="s">
        <v>246</v>
      </c>
      <c r="B55" s="108">
        <v>1938090</v>
      </c>
      <c r="C55" s="108">
        <v>2296140</v>
      </c>
      <c r="D55" s="112">
        <v>7806</v>
      </c>
      <c r="E55" s="108">
        <v>358050</v>
      </c>
      <c r="F55" s="111">
        <v>15.59</v>
      </c>
      <c r="G55">
        <v>1</v>
      </c>
    </row>
    <row r="56" spans="1:7" x14ac:dyDescent="0.25">
      <c r="A56" s="107" t="s">
        <v>246</v>
      </c>
      <c r="B56" s="108">
        <v>637665</v>
      </c>
      <c r="C56" s="108">
        <v>637665</v>
      </c>
      <c r="D56" s="112">
        <v>3643.8</v>
      </c>
      <c r="E56" s="110"/>
      <c r="F56" s="110"/>
      <c r="G56">
        <v>1</v>
      </c>
    </row>
    <row r="57" spans="1:7" x14ac:dyDescent="0.25">
      <c r="A57" s="107" t="s">
        <v>296</v>
      </c>
      <c r="B57" s="108">
        <v>112317354.02</v>
      </c>
      <c r="C57" s="108">
        <v>112317354.02</v>
      </c>
      <c r="D57" s="112">
        <v>211574.981</v>
      </c>
      <c r="E57" s="110"/>
      <c r="F57" s="110"/>
      <c r="G57">
        <v>1</v>
      </c>
    </row>
    <row r="58" spans="1:7" x14ac:dyDescent="0.25">
      <c r="A58" s="107" t="s">
        <v>247</v>
      </c>
      <c r="B58" s="108">
        <v>942180.32</v>
      </c>
      <c r="C58" s="108">
        <v>942180.32</v>
      </c>
      <c r="D58" s="112">
        <v>1954.73</v>
      </c>
      <c r="E58" s="110"/>
      <c r="F58" s="110"/>
      <c r="G58">
        <v>1</v>
      </c>
    </row>
    <row r="59" spans="1:7" x14ac:dyDescent="0.25">
      <c r="A59" s="107" t="s">
        <v>248</v>
      </c>
      <c r="B59" s="108">
        <v>50851396.020000003</v>
      </c>
      <c r="C59" s="108">
        <v>50851396.020000003</v>
      </c>
      <c r="D59" s="112">
        <v>106448.58</v>
      </c>
      <c r="E59" s="110"/>
      <c r="F59" s="110"/>
      <c r="G59">
        <v>1</v>
      </c>
    </row>
    <row r="60" spans="1:7" x14ac:dyDescent="0.25">
      <c r="A60" s="107" t="s">
        <v>297</v>
      </c>
      <c r="B60" s="108">
        <v>50655.5</v>
      </c>
      <c r="C60" s="108">
        <v>50655.5</v>
      </c>
      <c r="D60" s="109">
        <v>119.59</v>
      </c>
      <c r="E60" s="110"/>
      <c r="F60" s="110"/>
      <c r="G60">
        <v>1</v>
      </c>
    </row>
    <row r="61" spans="1:7" x14ac:dyDescent="0.25">
      <c r="A61" s="107" t="s">
        <v>298</v>
      </c>
      <c r="B61" s="108">
        <v>53998.6</v>
      </c>
      <c r="C61" s="108">
        <v>53998.6</v>
      </c>
      <c r="D61" s="109">
        <v>177.28</v>
      </c>
      <c r="E61" s="110"/>
      <c r="F61" s="110"/>
      <c r="G61">
        <v>1</v>
      </c>
    </row>
    <row r="62" spans="1:7" x14ac:dyDescent="0.25">
      <c r="A62" s="107" t="s">
        <v>249</v>
      </c>
      <c r="B62" s="108">
        <v>1131719.33</v>
      </c>
      <c r="C62" s="108">
        <v>1131719.33</v>
      </c>
      <c r="D62" s="112">
        <v>2514.33</v>
      </c>
      <c r="E62" s="110"/>
      <c r="F62" s="110"/>
      <c r="G62">
        <v>1</v>
      </c>
    </row>
    <row r="63" spans="1:7" x14ac:dyDescent="0.25">
      <c r="A63" s="107" t="s">
        <v>299</v>
      </c>
      <c r="B63" s="108">
        <v>5043</v>
      </c>
      <c r="C63" s="108">
        <v>5043</v>
      </c>
      <c r="D63" s="109">
        <v>12.3</v>
      </c>
      <c r="E63" s="110"/>
      <c r="F63" s="110"/>
      <c r="G63">
        <v>1</v>
      </c>
    </row>
    <row r="64" spans="1:7" x14ac:dyDescent="0.25">
      <c r="A64" s="107" t="s">
        <v>300</v>
      </c>
      <c r="B64" s="108">
        <v>38386.6</v>
      </c>
      <c r="C64" s="108">
        <v>38386.6</v>
      </c>
      <c r="D64" s="109">
        <v>78.34</v>
      </c>
      <c r="E64" s="110"/>
      <c r="F64" s="110"/>
      <c r="G64">
        <v>1</v>
      </c>
    </row>
    <row r="65" spans="1:7" x14ac:dyDescent="0.25">
      <c r="A65" s="107" t="s">
        <v>301</v>
      </c>
      <c r="B65" s="108">
        <v>53500</v>
      </c>
      <c r="C65" s="108">
        <v>53500</v>
      </c>
      <c r="D65" s="109">
        <v>1</v>
      </c>
      <c r="E65" s="110"/>
      <c r="F65" s="110"/>
    </row>
    <row r="66" spans="1:7" x14ac:dyDescent="0.25">
      <c r="A66" s="107" t="s">
        <v>302</v>
      </c>
      <c r="B66" s="108">
        <v>56250</v>
      </c>
      <c r="C66" s="108">
        <v>56250</v>
      </c>
      <c r="D66" s="109">
        <v>1</v>
      </c>
      <c r="E66" s="110"/>
      <c r="F66" s="110"/>
    </row>
    <row r="67" spans="1:7" ht="22.5" x14ac:dyDescent="0.25">
      <c r="A67" s="107" t="s">
        <v>250</v>
      </c>
      <c r="B67" s="108">
        <v>393600</v>
      </c>
      <c r="C67" s="108">
        <v>393600</v>
      </c>
      <c r="D67" s="109">
        <v>2</v>
      </c>
      <c r="E67" s="110"/>
      <c r="F67" s="110"/>
    </row>
    <row r="68" spans="1:7" x14ac:dyDescent="0.25">
      <c r="A68" s="107" t="s">
        <v>251</v>
      </c>
      <c r="B68" s="108">
        <v>4856400</v>
      </c>
      <c r="C68" s="108">
        <v>4856400</v>
      </c>
      <c r="D68" s="109">
        <v>11</v>
      </c>
      <c r="E68" s="110"/>
      <c r="F68" s="110"/>
    </row>
    <row r="69" spans="1:7" x14ac:dyDescent="0.25">
      <c r="A69" s="107" t="s">
        <v>303</v>
      </c>
      <c r="B69" s="108">
        <v>14850000</v>
      </c>
      <c r="C69" s="108">
        <v>14850000</v>
      </c>
      <c r="D69" s="109">
        <v>1</v>
      </c>
      <c r="E69" s="110"/>
      <c r="F69" s="110"/>
    </row>
    <row r="70" spans="1:7" x14ac:dyDescent="0.25">
      <c r="A70" s="107" t="s">
        <v>304</v>
      </c>
      <c r="B70" s="111">
        <v>247.8</v>
      </c>
      <c r="C70" s="111">
        <v>247.8</v>
      </c>
      <c r="D70" s="109">
        <v>1</v>
      </c>
      <c r="E70" s="110"/>
      <c r="F70" s="110"/>
    </row>
    <row r="71" spans="1:7" x14ac:dyDescent="0.25">
      <c r="A71" s="107" t="s">
        <v>252</v>
      </c>
      <c r="B71" s="108">
        <v>5664900</v>
      </c>
      <c r="C71" s="108">
        <v>5664900</v>
      </c>
      <c r="D71" s="112">
        <v>74520</v>
      </c>
      <c r="E71" s="110"/>
      <c r="F71" s="110"/>
    </row>
    <row r="72" spans="1:7" x14ac:dyDescent="0.25">
      <c r="A72" s="107" t="s">
        <v>305</v>
      </c>
      <c r="B72" s="111">
        <v>188.8</v>
      </c>
      <c r="C72" s="111">
        <v>188.8</v>
      </c>
      <c r="D72" s="109">
        <v>1</v>
      </c>
      <c r="E72" s="110"/>
      <c r="F72" s="110"/>
    </row>
    <row r="73" spans="1:7" x14ac:dyDescent="0.25">
      <c r="A73" s="107" t="s">
        <v>253</v>
      </c>
      <c r="B73" s="108">
        <v>30000</v>
      </c>
      <c r="C73" s="108">
        <v>30000</v>
      </c>
      <c r="D73" s="109">
        <v>1</v>
      </c>
      <c r="E73" s="110"/>
      <c r="F73" s="110"/>
    </row>
    <row r="74" spans="1:7" x14ac:dyDescent="0.25">
      <c r="A74" s="107" t="s">
        <v>306</v>
      </c>
      <c r="B74" s="111">
        <v>684.4</v>
      </c>
      <c r="C74" s="111">
        <v>684.4</v>
      </c>
      <c r="D74" s="109">
        <v>2</v>
      </c>
      <c r="E74" s="110"/>
      <c r="F74" s="110"/>
    </row>
    <row r="75" spans="1:7" x14ac:dyDescent="0.25">
      <c r="A75" s="107" t="s">
        <v>307</v>
      </c>
      <c r="B75" s="111">
        <v>140.6</v>
      </c>
      <c r="C75" s="111">
        <v>140.6</v>
      </c>
      <c r="D75" s="109">
        <v>1</v>
      </c>
      <c r="E75" s="110"/>
      <c r="F75" s="110"/>
    </row>
    <row r="76" spans="1:7" x14ac:dyDescent="0.25">
      <c r="A76" s="107" t="s">
        <v>254</v>
      </c>
      <c r="B76" s="108">
        <v>2179827.7200000002</v>
      </c>
      <c r="C76" s="108">
        <v>2186918.7200000002</v>
      </c>
      <c r="D76" s="109">
        <v>22</v>
      </c>
      <c r="E76" s="108">
        <v>7091</v>
      </c>
      <c r="F76" s="111">
        <v>0.32</v>
      </c>
    </row>
    <row r="77" spans="1:7" x14ac:dyDescent="0.25">
      <c r="A77" s="107" t="s">
        <v>255</v>
      </c>
      <c r="B77" s="108">
        <v>12636432.960000001</v>
      </c>
      <c r="C77" s="108">
        <v>12636432.960000001</v>
      </c>
      <c r="D77" s="109">
        <v>22</v>
      </c>
      <c r="E77" s="110"/>
      <c r="F77" s="110"/>
    </row>
    <row r="78" spans="1:7" ht="22.5" x14ac:dyDescent="0.25">
      <c r="A78" s="107" t="s">
        <v>256</v>
      </c>
      <c r="B78" s="108">
        <v>5167493.76</v>
      </c>
      <c r="C78" s="108">
        <v>5167493.76</v>
      </c>
      <c r="D78" s="109">
        <v>10</v>
      </c>
      <c r="E78" s="110"/>
      <c r="F78" s="110"/>
    </row>
    <row r="79" spans="1:7" x14ac:dyDescent="0.25">
      <c r="A79" s="107" t="s">
        <v>257</v>
      </c>
      <c r="B79" s="108">
        <v>2257461.25</v>
      </c>
      <c r="C79" s="108">
        <v>2257461.25</v>
      </c>
      <c r="D79" s="112">
        <v>4752.55</v>
      </c>
      <c r="E79" s="110"/>
      <c r="F79" s="110"/>
      <c r="G79">
        <v>1</v>
      </c>
    </row>
    <row r="80" spans="1:7" x14ac:dyDescent="0.25">
      <c r="A80" s="107" t="s">
        <v>308</v>
      </c>
      <c r="B80" s="108">
        <v>719440</v>
      </c>
      <c r="C80" s="108">
        <v>719440</v>
      </c>
      <c r="D80" s="112">
        <v>1798.6</v>
      </c>
      <c r="E80" s="110"/>
      <c r="F80" s="110"/>
      <c r="G80">
        <v>1</v>
      </c>
    </row>
    <row r="81" spans="1:7" x14ac:dyDescent="0.25">
      <c r="A81" s="107" t="s">
        <v>258</v>
      </c>
      <c r="B81" s="108">
        <v>21062952.899999999</v>
      </c>
      <c r="C81" s="108">
        <v>21062952.899999999</v>
      </c>
      <c r="D81" s="112">
        <v>77375.399999999994</v>
      </c>
      <c r="E81" s="110"/>
      <c r="F81" s="110"/>
      <c r="G81">
        <v>1</v>
      </c>
    </row>
    <row r="82" spans="1:7" x14ac:dyDescent="0.25">
      <c r="A82" s="107" t="s">
        <v>309</v>
      </c>
      <c r="B82" s="108">
        <v>84007.5</v>
      </c>
      <c r="C82" s="108">
        <v>84007.5</v>
      </c>
      <c r="D82" s="109">
        <v>243.5</v>
      </c>
      <c r="E82" s="110"/>
      <c r="F82" s="110"/>
      <c r="G82">
        <v>1</v>
      </c>
    </row>
    <row r="83" spans="1:7" x14ac:dyDescent="0.25">
      <c r="A83" s="107" t="s">
        <v>259</v>
      </c>
      <c r="B83" s="108">
        <v>393406713.80000001</v>
      </c>
      <c r="C83" s="108">
        <v>393406713.80000001</v>
      </c>
      <c r="D83" s="112">
        <v>1048849.3999999999</v>
      </c>
      <c r="E83" s="110"/>
      <c r="F83" s="110"/>
      <c r="G83">
        <v>1</v>
      </c>
    </row>
    <row r="84" spans="1:7" x14ac:dyDescent="0.25">
      <c r="A84" s="107" t="s">
        <v>310</v>
      </c>
      <c r="B84" s="108">
        <v>16719652.800000001</v>
      </c>
      <c r="C84" s="108">
        <v>16719652.800000001</v>
      </c>
      <c r="D84" s="112">
        <v>38908.699999999997</v>
      </c>
      <c r="E84" s="110"/>
      <c r="F84" s="110"/>
      <c r="G84">
        <v>1</v>
      </c>
    </row>
    <row r="85" spans="1:7" x14ac:dyDescent="0.25">
      <c r="A85" s="107" t="s">
        <v>311</v>
      </c>
      <c r="B85" s="108">
        <v>1276950</v>
      </c>
      <c r="C85" s="108">
        <v>1276950</v>
      </c>
      <c r="D85" s="112">
        <v>2553.9</v>
      </c>
      <c r="E85" s="110"/>
      <c r="F85" s="110"/>
      <c r="G85">
        <v>1</v>
      </c>
    </row>
    <row r="86" spans="1:7" x14ac:dyDescent="0.25">
      <c r="A86" s="107" t="s">
        <v>260</v>
      </c>
      <c r="B86" s="108">
        <v>3161415</v>
      </c>
      <c r="C86" s="108">
        <v>3161415</v>
      </c>
      <c r="D86" s="112">
        <v>13095.8</v>
      </c>
      <c r="E86" s="110"/>
      <c r="F86" s="110"/>
      <c r="G86">
        <v>1</v>
      </c>
    </row>
    <row r="87" spans="1:7" x14ac:dyDescent="0.25">
      <c r="A87" s="107" t="s">
        <v>261</v>
      </c>
      <c r="B87" s="108">
        <v>40619281.600000001</v>
      </c>
      <c r="C87" s="108">
        <v>40619281.600000001</v>
      </c>
      <c r="D87" s="109">
        <v>17</v>
      </c>
      <c r="E87" s="110"/>
      <c r="F87" s="110"/>
    </row>
    <row r="88" spans="1:7" x14ac:dyDescent="0.25">
      <c r="A88" s="107" t="s">
        <v>262</v>
      </c>
      <c r="B88" s="108">
        <v>691000</v>
      </c>
      <c r="C88" s="108">
        <v>764800</v>
      </c>
      <c r="D88" s="112">
        <v>1616</v>
      </c>
      <c r="E88" s="108">
        <v>73800</v>
      </c>
      <c r="F88" s="111">
        <v>9.65</v>
      </c>
    </row>
    <row r="89" spans="1:7" x14ac:dyDescent="0.25">
      <c r="A89" s="107" t="s">
        <v>263</v>
      </c>
      <c r="B89" s="108">
        <v>1336400.31</v>
      </c>
      <c r="C89" s="108">
        <v>1336402.1499999999</v>
      </c>
      <c r="D89" s="112">
        <v>1683</v>
      </c>
      <c r="E89" s="111">
        <v>1.84</v>
      </c>
      <c r="F89" s="111">
        <v>0</v>
      </c>
    </row>
    <row r="90" spans="1:7" x14ac:dyDescent="0.25">
      <c r="A90" s="113"/>
      <c r="B90" s="113"/>
      <c r="C90" s="113"/>
      <c r="D90" s="113"/>
      <c r="E90" s="113"/>
      <c r="F90" s="113"/>
    </row>
    <row r="91" spans="1:7" x14ac:dyDescent="0.25">
      <c r="A91" s="105" t="s">
        <v>264</v>
      </c>
      <c r="B91" s="114">
        <v>3075569350.5699997</v>
      </c>
      <c r="C91" s="114">
        <v>3076295187.79</v>
      </c>
      <c r="D91" s="115">
        <v>5350792.4850000003</v>
      </c>
      <c r="E91" s="114">
        <v>725837.22</v>
      </c>
      <c r="F91" s="116">
        <v>0.02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1"/>
  <sheetViews>
    <sheetView showGridLines="0" workbookViewId="0">
      <selection activeCell="P5" sqref="P5"/>
    </sheetView>
  </sheetViews>
  <sheetFormatPr defaultRowHeight="15" x14ac:dyDescent="0.25"/>
  <cols>
    <col min="1" max="1" width="49.5703125" customWidth="1"/>
    <col min="2" max="3" width="13.28515625" bestFit="1" customWidth="1"/>
    <col min="4" max="4" width="10.7109375" bestFit="1" customWidth="1"/>
    <col min="5" max="5" width="8.7109375" bestFit="1" customWidth="1"/>
    <col min="6" max="6" width="8.28515625" bestFit="1" customWidth="1"/>
  </cols>
  <sheetData>
    <row r="1" spans="1:7" ht="33.75" x14ac:dyDescent="0.25">
      <c r="A1" s="117" t="s">
        <v>220</v>
      </c>
      <c r="B1" s="118" t="s">
        <v>221</v>
      </c>
      <c r="C1" s="118" t="s">
        <v>222</v>
      </c>
      <c r="D1" s="118" t="s">
        <v>223</v>
      </c>
      <c r="E1" s="118" t="s">
        <v>224</v>
      </c>
      <c r="F1" s="118" t="s">
        <v>225</v>
      </c>
      <c r="G1" s="119"/>
    </row>
    <row r="2" spans="1:7" x14ac:dyDescent="0.25">
      <c r="A2" s="120" t="s">
        <v>226</v>
      </c>
      <c r="B2" s="121">
        <v>1925651.88</v>
      </c>
      <c r="C2" s="121">
        <v>1925651.88</v>
      </c>
      <c r="D2" s="122">
        <v>270</v>
      </c>
      <c r="E2" s="123"/>
      <c r="F2" s="123"/>
      <c r="G2" s="119"/>
    </row>
    <row r="3" spans="1:7" x14ac:dyDescent="0.25">
      <c r="A3" s="120" t="s">
        <v>266</v>
      </c>
      <c r="B3" s="121">
        <v>751932.85</v>
      </c>
      <c r="C3" s="121">
        <v>751932.85</v>
      </c>
      <c r="D3" s="122">
        <v>3</v>
      </c>
      <c r="E3" s="123"/>
      <c r="F3" s="123"/>
      <c r="G3" s="119"/>
    </row>
    <row r="4" spans="1:7" x14ac:dyDescent="0.25">
      <c r="A4" s="120" t="s">
        <v>227</v>
      </c>
      <c r="B4" s="121">
        <v>28476610.57</v>
      </c>
      <c r="C4" s="121">
        <v>28479361.719999999</v>
      </c>
      <c r="D4" s="124">
        <v>15399.696</v>
      </c>
      <c r="E4" s="121">
        <v>2751.15</v>
      </c>
      <c r="F4" s="125">
        <v>0.01</v>
      </c>
      <c r="G4" s="119"/>
    </row>
    <row r="5" spans="1:7" x14ac:dyDescent="0.25">
      <c r="A5" s="120" t="s">
        <v>312</v>
      </c>
      <c r="B5" s="121">
        <v>100000</v>
      </c>
      <c r="C5" s="121">
        <v>100000</v>
      </c>
      <c r="D5" s="122">
        <v>2</v>
      </c>
      <c r="E5" s="123"/>
      <c r="F5" s="123"/>
      <c r="G5" s="119"/>
    </row>
    <row r="6" spans="1:7" x14ac:dyDescent="0.25">
      <c r="A6" s="120" t="s">
        <v>229</v>
      </c>
      <c r="B6" s="125">
        <v>407.11</v>
      </c>
      <c r="C6" s="125">
        <v>407.11</v>
      </c>
      <c r="D6" s="122">
        <v>2</v>
      </c>
      <c r="E6" s="123"/>
      <c r="F6" s="123"/>
      <c r="G6" s="119"/>
    </row>
    <row r="7" spans="1:7" x14ac:dyDescent="0.25">
      <c r="A7" s="120" t="s">
        <v>230</v>
      </c>
      <c r="B7" s="125">
        <v>642.27</v>
      </c>
      <c r="C7" s="125">
        <v>642.27</v>
      </c>
      <c r="D7" s="122">
        <v>3</v>
      </c>
      <c r="E7" s="123"/>
      <c r="F7" s="123"/>
      <c r="G7" s="119"/>
    </row>
    <row r="8" spans="1:7" x14ac:dyDescent="0.25">
      <c r="A8" s="120" t="s">
        <v>231</v>
      </c>
      <c r="B8" s="121">
        <v>150000</v>
      </c>
      <c r="C8" s="121">
        <v>150000</v>
      </c>
      <c r="D8" s="122">
        <v>3</v>
      </c>
      <c r="E8" s="123"/>
      <c r="F8" s="123"/>
      <c r="G8" s="119"/>
    </row>
    <row r="9" spans="1:7" x14ac:dyDescent="0.25">
      <c r="A9" s="120" t="s">
        <v>233</v>
      </c>
      <c r="B9" s="121">
        <v>46862320</v>
      </c>
      <c r="C9" s="121">
        <v>46862320</v>
      </c>
      <c r="D9" s="124">
        <v>18783.599999999999</v>
      </c>
      <c r="E9" s="123"/>
      <c r="F9" s="123"/>
      <c r="G9" s="119">
        <v>1</v>
      </c>
    </row>
    <row r="10" spans="1:7" x14ac:dyDescent="0.25">
      <c r="A10" s="120" t="s">
        <v>313</v>
      </c>
      <c r="B10" s="121">
        <v>35400000</v>
      </c>
      <c r="C10" s="121">
        <v>35400000</v>
      </c>
      <c r="D10" s="122">
        <v>1</v>
      </c>
      <c r="E10" s="123"/>
      <c r="F10" s="123"/>
      <c r="G10" s="119"/>
    </row>
    <row r="11" spans="1:7" x14ac:dyDescent="0.25">
      <c r="A11" s="120" t="s">
        <v>234</v>
      </c>
      <c r="B11" s="121">
        <v>224515</v>
      </c>
      <c r="C11" s="121">
        <v>224515</v>
      </c>
      <c r="D11" s="122">
        <v>541</v>
      </c>
      <c r="E11" s="123"/>
      <c r="F11" s="123"/>
      <c r="G11" s="119">
        <v>1</v>
      </c>
    </row>
    <row r="12" spans="1:7" x14ac:dyDescent="0.25">
      <c r="A12" s="120" t="s">
        <v>274</v>
      </c>
      <c r="B12" s="121">
        <v>35552137.399999999</v>
      </c>
      <c r="C12" s="121">
        <v>35552137.399999999</v>
      </c>
      <c r="D12" s="124">
        <v>108509.75999999999</v>
      </c>
      <c r="E12" s="123"/>
      <c r="F12" s="123"/>
      <c r="G12" s="119">
        <v>1</v>
      </c>
    </row>
    <row r="13" spans="1:7" x14ac:dyDescent="0.25">
      <c r="A13" s="120" t="s">
        <v>314</v>
      </c>
      <c r="B13" s="121">
        <v>850695</v>
      </c>
      <c r="C13" s="121">
        <v>850695</v>
      </c>
      <c r="D13" s="124">
        <v>2477.85</v>
      </c>
      <c r="E13" s="123"/>
      <c r="F13" s="123"/>
      <c r="G13" s="119">
        <v>1</v>
      </c>
    </row>
    <row r="14" spans="1:7" x14ac:dyDescent="0.25">
      <c r="A14" s="120" t="s">
        <v>275</v>
      </c>
      <c r="B14" s="121">
        <v>36759.75</v>
      </c>
      <c r="C14" s="121">
        <v>36759.75</v>
      </c>
      <c r="D14" s="122">
        <v>63.93</v>
      </c>
      <c r="E14" s="123"/>
      <c r="F14" s="123"/>
      <c r="G14" s="119">
        <v>1</v>
      </c>
    </row>
    <row r="15" spans="1:7" x14ac:dyDescent="0.25">
      <c r="A15" s="120" t="s">
        <v>235</v>
      </c>
      <c r="B15" s="121">
        <v>3684623.65</v>
      </c>
      <c r="C15" s="121">
        <v>3684623.65</v>
      </c>
      <c r="D15" s="124">
        <v>8280.89</v>
      </c>
      <c r="E15" s="123"/>
      <c r="F15" s="123"/>
      <c r="G15" s="119">
        <v>1</v>
      </c>
    </row>
    <row r="16" spans="1:7" x14ac:dyDescent="0.25">
      <c r="A16" s="120" t="s">
        <v>236</v>
      </c>
      <c r="B16" s="121">
        <v>4734549.9000000004</v>
      </c>
      <c r="C16" s="121">
        <v>4734549.9000000004</v>
      </c>
      <c r="D16" s="124">
        <v>8497.3700000000008</v>
      </c>
      <c r="E16" s="123"/>
      <c r="F16" s="123"/>
      <c r="G16" s="119">
        <v>1</v>
      </c>
    </row>
    <row r="17" spans="1:7" x14ac:dyDescent="0.25">
      <c r="A17" s="120" t="s">
        <v>237</v>
      </c>
      <c r="B17" s="121">
        <v>8829194.1300000008</v>
      </c>
      <c r="C17" s="121">
        <v>8829194.1300000008</v>
      </c>
      <c r="D17" s="124">
        <v>17727.955000000002</v>
      </c>
      <c r="E17" s="123"/>
      <c r="F17" s="123"/>
      <c r="G17" s="119">
        <v>1</v>
      </c>
    </row>
    <row r="18" spans="1:7" x14ac:dyDescent="0.25">
      <c r="A18" s="120" t="s">
        <v>276</v>
      </c>
      <c r="B18" s="121">
        <v>6275671.7999999998</v>
      </c>
      <c r="C18" s="121">
        <v>6275671.7999999998</v>
      </c>
      <c r="D18" s="124">
        <v>11582.83</v>
      </c>
      <c r="E18" s="123"/>
      <c r="F18" s="123"/>
      <c r="G18" s="119">
        <v>1</v>
      </c>
    </row>
    <row r="19" spans="1:7" x14ac:dyDescent="0.25">
      <c r="A19" s="120" t="s">
        <v>277</v>
      </c>
      <c r="B19" s="121">
        <v>10533785</v>
      </c>
      <c r="C19" s="121">
        <v>10533785</v>
      </c>
      <c r="D19" s="124">
        <v>21413.74</v>
      </c>
      <c r="E19" s="123"/>
      <c r="F19" s="123"/>
      <c r="G19" s="119">
        <v>1</v>
      </c>
    </row>
    <row r="20" spans="1:7" x14ac:dyDescent="0.25">
      <c r="A20" s="120" t="s">
        <v>278</v>
      </c>
      <c r="B20" s="121">
        <v>98894793.569999993</v>
      </c>
      <c r="C20" s="121">
        <v>98894793.569999993</v>
      </c>
      <c r="D20" s="124">
        <v>178585.79</v>
      </c>
      <c r="E20" s="123"/>
      <c r="F20" s="123"/>
      <c r="G20" s="119">
        <v>1</v>
      </c>
    </row>
    <row r="21" spans="1:7" x14ac:dyDescent="0.25">
      <c r="A21" s="120" t="s">
        <v>279</v>
      </c>
      <c r="B21" s="121">
        <v>1586371.2</v>
      </c>
      <c r="C21" s="121">
        <v>1586371.2</v>
      </c>
      <c r="D21" s="124">
        <v>3069.28</v>
      </c>
      <c r="E21" s="123"/>
      <c r="F21" s="123"/>
      <c r="G21" s="119">
        <v>1</v>
      </c>
    </row>
    <row r="22" spans="1:7" x14ac:dyDescent="0.25">
      <c r="A22" s="120" t="s">
        <v>280</v>
      </c>
      <c r="B22" s="121">
        <v>51659529.100000001</v>
      </c>
      <c r="C22" s="121">
        <v>51659529.100000001</v>
      </c>
      <c r="D22" s="124">
        <v>97309.27</v>
      </c>
      <c r="E22" s="123"/>
      <c r="F22" s="123"/>
      <c r="G22" s="119">
        <v>1</v>
      </c>
    </row>
    <row r="23" spans="1:7" x14ac:dyDescent="0.25">
      <c r="A23" s="120" t="s">
        <v>281</v>
      </c>
      <c r="B23" s="121">
        <v>1411161</v>
      </c>
      <c r="C23" s="121">
        <v>1411161</v>
      </c>
      <c r="D23" s="124">
        <v>2718.12</v>
      </c>
      <c r="E23" s="123"/>
      <c r="F23" s="123"/>
      <c r="G23" s="119">
        <v>1</v>
      </c>
    </row>
    <row r="24" spans="1:7" x14ac:dyDescent="0.25">
      <c r="A24" s="120" t="s">
        <v>282</v>
      </c>
      <c r="B24" s="121">
        <v>544461119.01999998</v>
      </c>
      <c r="C24" s="121">
        <v>544461119.01999998</v>
      </c>
      <c r="D24" s="124">
        <v>975666.97</v>
      </c>
      <c r="E24" s="123"/>
      <c r="F24" s="123"/>
      <c r="G24" s="119">
        <v>1</v>
      </c>
    </row>
    <row r="25" spans="1:7" x14ac:dyDescent="0.25">
      <c r="A25" s="120" t="s">
        <v>283</v>
      </c>
      <c r="B25" s="121">
        <v>7860067.9000000004</v>
      </c>
      <c r="C25" s="121">
        <v>7860067.9000000004</v>
      </c>
      <c r="D25" s="124">
        <v>16122.42</v>
      </c>
      <c r="E25" s="123"/>
      <c r="F25" s="123"/>
      <c r="G25" s="119">
        <v>1</v>
      </c>
    </row>
    <row r="26" spans="1:7" x14ac:dyDescent="0.25">
      <c r="A26" s="120" t="s">
        <v>284</v>
      </c>
      <c r="B26" s="121">
        <v>129461730.39</v>
      </c>
      <c r="C26" s="121">
        <v>129461730.39</v>
      </c>
      <c r="D26" s="124">
        <v>237150.63</v>
      </c>
      <c r="E26" s="123"/>
      <c r="F26" s="123"/>
      <c r="G26" s="119">
        <v>1</v>
      </c>
    </row>
    <row r="27" spans="1:7" x14ac:dyDescent="0.25">
      <c r="A27" s="120" t="s">
        <v>315</v>
      </c>
      <c r="B27" s="121">
        <v>330854.05</v>
      </c>
      <c r="C27" s="121">
        <v>330854.05</v>
      </c>
      <c r="D27" s="122">
        <v>658.07</v>
      </c>
      <c r="E27" s="123"/>
      <c r="F27" s="123"/>
      <c r="G27" s="119">
        <v>1</v>
      </c>
    </row>
    <row r="28" spans="1:7" x14ac:dyDescent="0.25">
      <c r="A28" s="120" t="s">
        <v>285</v>
      </c>
      <c r="B28" s="121">
        <v>1207436666.3</v>
      </c>
      <c r="C28" s="121">
        <v>1207436666.3</v>
      </c>
      <c r="D28" s="124">
        <v>2096109.54</v>
      </c>
      <c r="E28" s="123"/>
      <c r="F28" s="123"/>
      <c r="G28" s="119">
        <v>1</v>
      </c>
    </row>
    <row r="29" spans="1:7" x14ac:dyDescent="0.25">
      <c r="A29" s="120" t="s">
        <v>286</v>
      </c>
      <c r="B29" s="121">
        <v>51219.1</v>
      </c>
      <c r="C29" s="121">
        <v>51219.1</v>
      </c>
      <c r="D29" s="122">
        <v>93.98</v>
      </c>
      <c r="E29" s="123"/>
      <c r="F29" s="123"/>
      <c r="G29" s="119">
        <v>1</v>
      </c>
    </row>
    <row r="30" spans="1:7" x14ac:dyDescent="0.25">
      <c r="A30" s="120" t="s">
        <v>287</v>
      </c>
      <c r="B30" s="121">
        <v>103275849.5</v>
      </c>
      <c r="C30" s="121">
        <v>103275849.5</v>
      </c>
      <c r="D30" s="124">
        <v>179849.60000000001</v>
      </c>
      <c r="E30" s="123"/>
      <c r="F30" s="123"/>
      <c r="G30" s="119">
        <v>1</v>
      </c>
    </row>
    <row r="31" spans="1:7" x14ac:dyDescent="0.25">
      <c r="A31" s="120" t="s">
        <v>316</v>
      </c>
      <c r="B31" s="121">
        <v>3729008.5</v>
      </c>
      <c r="C31" s="121">
        <v>3729008.5</v>
      </c>
      <c r="D31" s="124">
        <v>6594.26</v>
      </c>
      <c r="E31" s="123"/>
      <c r="F31" s="123"/>
      <c r="G31" s="119">
        <v>1</v>
      </c>
    </row>
    <row r="32" spans="1:7" x14ac:dyDescent="0.25">
      <c r="A32" s="120" t="s">
        <v>288</v>
      </c>
      <c r="B32" s="121">
        <v>981896626.97000003</v>
      </c>
      <c r="C32" s="121">
        <v>981896626.97000003</v>
      </c>
      <c r="D32" s="124">
        <v>1641837.11</v>
      </c>
      <c r="E32" s="123"/>
      <c r="F32" s="123"/>
      <c r="G32" s="119">
        <v>1</v>
      </c>
    </row>
    <row r="33" spans="1:7" x14ac:dyDescent="0.25">
      <c r="A33" s="120" t="s">
        <v>289</v>
      </c>
      <c r="B33" s="121">
        <v>1625411</v>
      </c>
      <c r="C33" s="121">
        <v>1625411</v>
      </c>
      <c r="D33" s="124">
        <v>2717</v>
      </c>
      <c r="E33" s="123"/>
      <c r="F33" s="123"/>
      <c r="G33" s="119">
        <v>1</v>
      </c>
    </row>
    <row r="34" spans="1:7" x14ac:dyDescent="0.25">
      <c r="A34" s="120" t="s">
        <v>290</v>
      </c>
      <c r="B34" s="121">
        <v>41203226.159999996</v>
      </c>
      <c r="C34" s="121">
        <v>41203226.159999996</v>
      </c>
      <c r="D34" s="124">
        <v>68389.490000000005</v>
      </c>
      <c r="E34" s="123"/>
      <c r="F34" s="123"/>
      <c r="G34" s="119">
        <v>1</v>
      </c>
    </row>
    <row r="35" spans="1:7" x14ac:dyDescent="0.25">
      <c r="A35" s="120" t="s">
        <v>291</v>
      </c>
      <c r="B35" s="121">
        <v>381425339.54000002</v>
      </c>
      <c r="C35" s="121">
        <v>381425339.54000002</v>
      </c>
      <c r="D35" s="124">
        <v>609680.49</v>
      </c>
      <c r="E35" s="123"/>
      <c r="F35" s="123"/>
      <c r="G35" s="119">
        <v>1</v>
      </c>
    </row>
    <row r="36" spans="1:7" x14ac:dyDescent="0.25">
      <c r="A36" s="120" t="s">
        <v>317</v>
      </c>
      <c r="B36" s="121">
        <v>1544445</v>
      </c>
      <c r="C36" s="121">
        <v>1544445</v>
      </c>
      <c r="D36" s="124">
        <v>2451.5</v>
      </c>
      <c r="E36" s="123"/>
      <c r="F36" s="123"/>
      <c r="G36" s="119">
        <v>1</v>
      </c>
    </row>
    <row r="37" spans="1:7" x14ac:dyDescent="0.25">
      <c r="A37" s="120" t="s">
        <v>292</v>
      </c>
      <c r="B37" s="121">
        <v>9309339.5500000007</v>
      </c>
      <c r="C37" s="121">
        <v>9309339.5500000007</v>
      </c>
      <c r="D37" s="124">
        <v>15547.86</v>
      </c>
      <c r="E37" s="123"/>
      <c r="F37" s="123"/>
      <c r="G37" s="119">
        <v>1</v>
      </c>
    </row>
    <row r="38" spans="1:7" x14ac:dyDescent="0.25">
      <c r="A38" s="120" t="s">
        <v>318</v>
      </c>
      <c r="B38" s="121">
        <v>1905822</v>
      </c>
      <c r="C38" s="121">
        <v>1905822</v>
      </c>
      <c r="D38" s="124">
        <v>3529.3</v>
      </c>
      <c r="E38" s="123"/>
      <c r="F38" s="123"/>
      <c r="G38" s="119">
        <v>1</v>
      </c>
    </row>
    <row r="39" spans="1:7" x14ac:dyDescent="0.25">
      <c r="A39" s="120" t="s">
        <v>293</v>
      </c>
      <c r="B39" s="121">
        <v>88160610.560000002</v>
      </c>
      <c r="C39" s="121">
        <v>88160610.560000002</v>
      </c>
      <c r="D39" s="124">
        <v>140059.57999999999</v>
      </c>
      <c r="E39" s="123"/>
      <c r="F39" s="123"/>
      <c r="G39" s="119">
        <v>1</v>
      </c>
    </row>
    <row r="40" spans="1:7" x14ac:dyDescent="0.25">
      <c r="A40" s="120" t="s">
        <v>294</v>
      </c>
      <c r="B40" s="121">
        <v>663898.5</v>
      </c>
      <c r="C40" s="121">
        <v>663898.5</v>
      </c>
      <c r="D40" s="124">
        <v>1029.3</v>
      </c>
      <c r="E40" s="123"/>
      <c r="F40" s="123"/>
      <c r="G40" s="119">
        <v>1</v>
      </c>
    </row>
    <row r="41" spans="1:7" x14ac:dyDescent="0.25">
      <c r="A41" s="120" t="s">
        <v>319</v>
      </c>
      <c r="B41" s="121">
        <v>1798943.87</v>
      </c>
      <c r="C41" s="121">
        <v>1798943.87</v>
      </c>
      <c r="D41" s="124">
        <v>3003.52</v>
      </c>
      <c r="E41" s="123"/>
      <c r="F41" s="123"/>
      <c r="G41" s="119">
        <v>1</v>
      </c>
    </row>
    <row r="42" spans="1:7" x14ac:dyDescent="0.25">
      <c r="A42" s="120" t="s">
        <v>320</v>
      </c>
      <c r="B42" s="121">
        <v>563328</v>
      </c>
      <c r="C42" s="121">
        <v>563328</v>
      </c>
      <c r="D42" s="124">
        <v>1043.2</v>
      </c>
      <c r="E42" s="123"/>
      <c r="F42" s="123"/>
      <c r="G42" s="119">
        <v>1</v>
      </c>
    </row>
    <row r="43" spans="1:7" x14ac:dyDescent="0.25">
      <c r="A43" s="120" t="s">
        <v>295</v>
      </c>
      <c r="B43" s="121">
        <v>15014993.32</v>
      </c>
      <c r="C43" s="121">
        <v>15014993.32</v>
      </c>
      <c r="D43" s="124">
        <v>24075.27</v>
      </c>
      <c r="E43" s="123"/>
      <c r="F43" s="123"/>
      <c r="G43" s="119">
        <v>1</v>
      </c>
    </row>
    <row r="44" spans="1:7" x14ac:dyDescent="0.25">
      <c r="A44" s="120" t="s">
        <v>321</v>
      </c>
      <c r="B44" s="121">
        <v>390612</v>
      </c>
      <c r="C44" s="121">
        <v>390612</v>
      </c>
      <c r="D44" s="122">
        <v>605.6</v>
      </c>
      <c r="E44" s="123"/>
      <c r="F44" s="123"/>
      <c r="G44" s="119">
        <v>1</v>
      </c>
    </row>
    <row r="45" spans="1:7" ht="22.5" x14ac:dyDescent="0.25">
      <c r="A45" s="120" t="s">
        <v>239</v>
      </c>
      <c r="B45" s="121">
        <v>177072</v>
      </c>
      <c r="C45" s="121">
        <v>177072</v>
      </c>
      <c r="D45" s="122">
        <v>380.8</v>
      </c>
      <c r="E45" s="123"/>
      <c r="F45" s="123"/>
      <c r="G45" s="119">
        <v>1</v>
      </c>
    </row>
    <row r="46" spans="1:7" ht="22.5" x14ac:dyDescent="0.25">
      <c r="A46" s="120" t="s">
        <v>296</v>
      </c>
      <c r="B46" s="121">
        <v>5011305.3600000003</v>
      </c>
      <c r="C46" s="121">
        <v>5011305.3600000003</v>
      </c>
      <c r="D46" s="124">
        <v>9982.68</v>
      </c>
      <c r="E46" s="123"/>
      <c r="F46" s="123"/>
      <c r="G46" s="119">
        <v>1</v>
      </c>
    </row>
    <row r="47" spans="1:7" x14ac:dyDescent="0.25">
      <c r="A47" s="120" t="s">
        <v>322</v>
      </c>
      <c r="B47" s="121">
        <v>37000</v>
      </c>
      <c r="C47" s="121">
        <v>36999.99</v>
      </c>
      <c r="D47" s="122">
        <v>4</v>
      </c>
      <c r="E47" s="125">
        <v>-0.01</v>
      </c>
      <c r="F47" s="125">
        <v>0</v>
      </c>
      <c r="G47" s="119"/>
    </row>
    <row r="48" spans="1:7" x14ac:dyDescent="0.25">
      <c r="A48" s="120" t="s">
        <v>323</v>
      </c>
      <c r="B48" s="121">
        <v>9171</v>
      </c>
      <c r="C48" s="121">
        <v>9171</v>
      </c>
      <c r="D48" s="122">
        <v>1</v>
      </c>
      <c r="E48" s="123"/>
      <c r="F48" s="123"/>
      <c r="G48" s="119"/>
    </row>
    <row r="49" spans="1:7" x14ac:dyDescent="0.25">
      <c r="A49" s="120" t="s">
        <v>324</v>
      </c>
      <c r="B49" s="121">
        <v>10609.4</v>
      </c>
      <c r="C49" s="121">
        <v>10609.38</v>
      </c>
      <c r="D49" s="122">
        <v>10</v>
      </c>
      <c r="E49" s="125">
        <v>-0.02</v>
      </c>
      <c r="F49" s="125">
        <v>0</v>
      </c>
      <c r="G49" s="119"/>
    </row>
    <row r="50" spans="1:7" x14ac:dyDescent="0.25">
      <c r="A50" s="120" t="s">
        <v>325</v>
      </c>
      <c r="B50" s="121">
        <v>567000</v>
      </c>
      <c r="C50" s="121">
        <v>566991.18000000005</v>
      </c>
      <c r="D50" s="124">
        <v>6300</v>
      </c>
      <c r="E50" s="125">
        <v>-8.82</v>
      </c>
      <c r="F50" s="125">
        <v>0</v>
      </c>
      <c r="G50" s="119"/>
    </row>
    <row r="51" spans="1:7" x14ac:dyDescent="0.25">
      <c r="A51" s="120" t="s">
        <v>251</v>
      </c>
      <c r="B51" s="121">
        <v>150000</v>
      </c>
      <c r="C51" s="121">
        <v>150000</v>
      </c>
      <c r="D51" s="122">
        <v>3</v>
      </c>
      <c r="E51" s="123"/>
      <c r="F51" s="123"/>
      <c r="G51" s="119"/>
    </row>
    <row r="52" spans="1:7" x14ac:dyDescent="0.25">
      <c r="A52" s="120" t="s">
        <v>303</v>
      </c>
      <c r="B52" s="121">
        <v>2871308.8</v>
      </c>
      <c r="C52" s="121">
        <v>2871308.8</v>
      </c>
      <c r="D52" s="122">
        <v>8</v>
      </c>
      <c r="E52" s="123"/>
      <c r="F52" s="123"/>
      <c r="G52" s="119"/>
    </row>
    <row r="53" spans="1:7" x14ac:dyDescent="0.25">
      <c r="A53" s="120" t="s">
        <v>252</v>
      </c>
      <c r="B53" s="121">
        <v>7176000</v>
      </c>
      <c r="C53" s="121">
        <v>7176000</v>
      </c>
      <c r="D53" s="124">
        <v>92000</v>
      </c>
      <c r="E53" s="123"/>
      <c r="F53" s="123"/>
      <c r="G53" s="119"/>
    </row>
    <row r="54" spans="1:7" x14ac:dyDescent="0.25">
      <c r="A54" s="120" t="s">
        <v>326</v>
      </c>
      <c r="B54" s="121">
        <v>660711.26</v>
      </c>
      <c r="C54" s="121">
        <v>660711.26</v>
      </c>
      <c r="D54" s="122">
        <v>250</v>
      </c>
      <c r="E54" s="123"/>
      <c r="F54" s="123"/>
      <c r="G54" s="119"/>
    </row>
    <row r="55" spans="1:7" x14ac:dyDescent="0.25">
      <c r="A55" s="120" t="s">
        <v>254</v>
      </c>
      <c r="B55" s="121">
        <v>140633.72</v>
      </c>
      <c r="C55" s="121">
        <v>140633.72</v>
      </c>
      <c r="D55" s="122">
        <v>6</v>
      </c>
      <c r="E55" s="123"/>
      <c r="F55" s="123"/>
      <c r="G55" s="119"/>
    </row>
    <row r="56" spans="1:7" x14ac:dyDescent="0.25">
      <c r="A56" s="120" t="s">
        <v>255</v>
      </c>
      <c r="B56" s="121">
        <v>7230000</v>
      </c>
      <c r="C56" s="121">
        <v>7230000.0300000003</v>
      </c>
      <c r="D56" s="122">
        <v>3</v>
      </c>
      <c r="E56" s="125">
        <v>0.03</v>
      </c>
      <c r="F56" s="125">
        <v>0</v>
      </c>
      <c r="G56" s="119"/>
    </row>
    <row r="57" spans="1:7" x14ac:dyDescent="0.25">
      <c r="A57" s="120" t="s">
        <v>327</v>
      </c>
      <c r="B57" s="121">
        <v>15059600</v>
      </c>
      <c r="C57" s="121">
        <v>15059600</v>
      </c>
      <c r="D57" s="122">
        <v>2</v>
      </c>
      <c r="E57" s="123"/>
      <c r="F57" s="123"/>
      <c r="G57" s="119"/>
    </row>
    <row r="58" spans="1:7" x14ac:dyDescent="0.25">
      <c r="A58" s="120" t="s">
        <v>258</v>
      </c>
      <c r="B58" s="121">
        <v>3902656</v>
      </c>
      <c r="C58" s="121">
        <v>3902656</v>
      </c>
      <c r="D58" s="124">
        <v>11478.4</v>
      </c>
      <c r="E58" s="123"/>
      <c r="F58" s="123"/>
      <c r="G58" s="119">
        <v>1</v>
      </c>
    </row>
    <row r="59" spans="1:7" x14ac:dyDescent="0.25">
      <c r="A59" s="120" t="s">
        <v>259</v>
      </c>
      <c r="B59" s="121">
        <v>123196227.09999999</v>
      </c>
      <c r="C59" s="121">
        <v>123373635.09999999</v>
      </c>
      <c r="D59" s="124">
        <v>307221.59999999998</v>
      </c>
      <c r="E59" s="121">
        <v>177408</v>
      </c>
      <c r="F59" s="125">
        <v>0.14000000000000001</v>
      </c>
      <c r="G59" s="119">
        <v>1</v>
      </c>
    </row>
    <row r="60" spans="1:7" x14ac:dyDescent="0.25">
      <c r="A60" s="120" t="s">
        <v>260</v>
      </c>
      <c r="B60" s="121">
        <v>227630.5</v>
      </c>
      <c r="C60" s="121">
        <v>227630.5</v>
      </c>
      <c r="D60" s="122">
        <v>606.5</v>
      </c>
      <c r="E60" s="123"/>
      <c r="F60" s="123"/>
      <c r="G60" s="119">
        <v>1</v>
      </c>
    </row>
    <row r="61" spans="1:7" x14ac:dyDescent="0.25">
      <c r="A61" s="120" t="s">
        <v>328</v>
      </c>
      <c r="B61" s="121">
        <v>2532011</v>
      </c>
      <c r="C61" s="121">
        <v>2532011</v>
      </c>
      <c r="D61" s="124">
        <v>7101.8</v>
      </c>
      <c r="E61" s="123"/>
      <c r="F61" s="123"/>
      <c r="G61" s="119">
        <v>1</v>
      </c>
    </row>
    <row r="62" spans="1:7" x14ac:dyDescent="0.25">
      <c r="A62" s="120" t="s">
        <v>329</v>
      </c>
      <c r="B62" s="121">
        <v>679420</v>
      </c>
      <c r="C62" s="121">
        <v>679420</v>
      </c>
      <c r="D62" s="124">
        <v>1694</v>
      </c>
      <c r="E62" s="123"/>
      <c r="F62" s="123"/>
      <c r="G62" s="119">
        <v>1</v>
      </c>
    </row>
    <row r="63" spans="1:7" x14ac:dyDescent="0.25">
      <c r="A63" s="120" t="s">
        <v>330</v>
      </c>
      <c r="B63" s="121">
        <v>31747.5</v>
      </c>
      <c r="C63" s="121">
        <v>31747.5</v>
      </c>
      <c r="D63" s="122">
        <v>74.7</v>
      </c>
      <c r="E63" s="123"/>
      <c r="F63" s="123"/>
      <c r="G63" s="119">
        <v>1</v>
      </c>
    </row>
    <row r="64" spans="1:7" x14ac:dyDescent="0.25">
      <c r="A64" s="120" t="s">
        <v>263</v>
      </c>
      <c r="B64" s="121">
        <v>568800</v>
      </c>
      <c r="C64" s="121">
        <v>568803.73</v>
      </c>
      <c r="D64" s="122">
        <v>711</v>
      </c>
      <c r="E64" s="125">
        <v>3.73</v>
      </c>
      <c r="F64" s="125">
        <v>0</v>
      </c>
      <c r="G64" s="119"/>
    </row>
    <row r="65" spans="1:7" x14ac:dyDescent="0.25">
      <c r="A65" s="119"/>
      <c r="B65" s="119"/>
      <c r="C65" s="119"/>
      <c r="D65" s="119"/>
      <c r="E65" s="119"/>
      <c r="F65" s="119"/>
      <c r="G65" s="119"/>
    </row>
    <row r="66" spans="1:7" x14ac:dyDescent="0.25">
      <c r="A66" s="117" t="s">
        <v>264</v>
      </c>
      <c r="B66" s="126">
        <v>4030289366.0499997</v>
      </c>
      <c r="C66" s="126">
        <v>4030469520.1100001</v>
      </c>
      <c r="D66" s="127">
        <v>6959298.2510000002</v>
      </c>
      <c r="E66" s="126">
        <v>180154.06</v>
      </c>
      <c r="F66" s="128">
        <v>0</v>
      </c>
      <c r="G66" s="119"/>
    </row>
    <row r="67" spans="1:7" x14ac:dyDescent="0.25">
      <c r="A67" s="119"/>
      <c r="B67" s="119"/>
      <c r="C67" s="119"/>
      <c r="D67" s="119"/>
      <c r="E67" s="119"/>
      <c r="F67" s="119"/>
      <c r="G67" s="119"/>
    </row>
    <row r="68" spans="1:7" x14ac:dyDescent="0.25">
      <c r="A68" s="119"/>
      <c r="B68" s="119"/>
      <c r="C68" s="119"/>
      <c r="D68" s="119"/>
      <c r="E68" s="119"/>
      <c r="F68" s="119"/>
      <c r="G68" s="119"/>
    </row>
    <row r="69" spans="1:7" x14ac:dyDescent="0.25">
      <c r="A69" s="119"/>
      <c r="B69" s="119"/>
      <c r="C69" s="119"/>
      <c r="D69" s="119"/>
      <c r="E69" s="119"/>
      <c r="F69" s="119"/>
      <c r="G69" s="119"/>
    </row>
    <row r="70" spans="1:7" x14ac:dyDescent="0.25">
      <c r="A70" s="119"/>
      <c r="B70" s="119"/>
      <c r="C70" s="119"/>
      <c r="D70" s="119"/>
      <c r="E70" s="119"/>
      <c r="F70" s="119"/>
      <c r="G70" s="119"/>
    </row>
    <row r="71" spans="1:7" x14ac:dyDescent="0.25">
      <c r="A71" s="119"/>
      <c r="B71" s="119"/>
      <c r="C71" s="119"/>
      <c r="D71" s="119"/>
      <c r="E71" s="119"/>
      <c r="F71" s="119"/>
      <c r="G71" s="11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90"/>
  <sheetViews>
    <sheetView showGridLines="0" topLeftCell="A57" workbookViewId="0">
      <selection activeCell="P5" sqref="P5"/>
    </sheetView>
  </sheetViews>
  <sheetFormatPr defaultRowHeight="15" x14ac:dyDescent="0.25"/>
  <cols>
    <col min="1" max="1" width="36.7109375" customWidth="1"/>
    <col min="2" max="3" width="13.28515625" bestFit="1" customWidth="1"/>
    <col min="4" max="4" width="11.7109375" bestFit="1" customWidth="1"/>
    <col min="5" max="5" width="8.7109375" bestFit="1" customWidth="1"/>
    <col min="6" max="6" width="8.28515625" bestFit="1" customWidth="1"/>
  </cols>
  <sheetData>
    <row r="1" spans="1:7" ht="33.75" x14ac:dyDescent="0.25">
      <c r="A1" s="129" t="s">
        <v>220</v>
      </c>
      <c r="B1" s="130" t="s">
        <v>221</v>
      </c>
      <c r="C1" s="130" t="s">
        <v>222</v>
      </c>
      <c r="D1" s="130" t="s">
        <v>223</v>
      </c>
      <c r="E1" s="130" t="s">
        <v>224</v>
      </c>
      <c r="F1" s="130" t="s">
        <v>225</v>
      </c>
    </row>
    <row r="2" spans="1:7" ht="22.5" x14ac:dyDescent="0.25">
      <c r="A2" s="131" t="s">
        <v>331</v>
      </c>
      <c r="B2" s="132">
        <v>23544</v>
      </c>
      <c r="C2" s="132">
        <v>23544</v>
      </c>
      <c r="D2" s="133">
        <v>981</v>
      </c>
      <c r="E2" s="134"/>
      <c r="F2" s="134"/>
    </row>
    <row r="3" spans="1:7" x14ac:dyDescent="0.25">
      <c r="A3" s="131" t="s">
        <v>226</v>
      </c>
      <c r="B3" s="132">
        <v>4841061.37</v>
      </c>
      <c r="C3" s="132">
        <v>4841060.8499999996</v>
      </c>
      <c r="D3" s="135">
        <v>1157.5</v>
      </c>
      <c r="E3" s="136">
        <v>-0.52</v>
      </c>
      <c r="F3" s="136">
        <v>0</v>
      </c>
    </row>
    <row r="4" spans="1:7" x14ac:dyDescent="0.25">
      <c r="A4" s="131" t="s">
        <v>266</v>
      </c>
      <c r="B4" s="132">
        <v>751932.85</v>
      </c>
      <c r="C4" s="132">
        <v>751932.85</v>
      </c>
      <c r="D4" s="133">
        <v>3</v>
      </c>
      <c r="E4" s="134"/>
      <c r="F4" s="134"/>
    </row>
    <row r="5" spans="1:7" x14ac:dyDescent="0.25">
      <c r="A5" s="131" t="s">
        <v>227</v>
      </c>
      <c r="B5" s="132">
        <v>55959980.350000001</v>
      </c>
      <c r="C5" s="132">
        <v>55962734.740000002</v>
      </c>
      <c r="D5" s="135">
        <v>29886.697</v>
      </c>
      <c r="E5" s="132">
        <v>2754.39</v>
      </c>
      <c r="F5" s="136">
        <v>0</v>
      </c>
    </row>
    <row r="6" spans="1:7" x14ac:dyDescent="0.25">
      <c r="A6" s="131" t="s">
        <v>312</v>
      </c>
      <c r="B6" s="132">
        <v>100000</v>
      </c>
      <c r="C6" s="132">
        <v>100000</v>
      </c>
      <c r="D6" s="133">
        <v>2</v>
      </c>
      <c r="E6" s="134"/>
      <c r="F6" s="134"/>
    </row>
    <row r="7" spans="1:7" x14ac:dyDescent="0.25">
      <c r="A7" s="131" t="s">
        <v>229</v>
      </c>
      <c r="B7" s="132">
        <v>1221.33</v>
      </c>
      <c r="C7" s="132">
        <v>1221.33</v>
      </c>
      <c r="D7" s="133">
        <v>6</v>
      </c>
      <c r="E7" s="134"/>
      <c r="F7" s="134"/>
    </row>
    <row r="8" spans="1:7" x14ac:dyDescent="0.25">
      <c r="A8" s="131" t="s">
        <v>230</v>
      </c>
      <c r="B8" s="132">
        <v>1280.47</v>
      </c>
      <c r="C8" s="132">
        <v>1280.47</v>
      </c>
      <c r="D8" s="133">
        <v>6</v>
      </c>
      <c r="E8" s="134"/>
      <c r="F8" s="134"/>
    </row>
    <row r="9" spans="1:7" x14ac:dyDescent="0.25">
      <c r="A9" s="131" t="s">
        <v>231</v>
      </c>
      <c r="B9" s="132">
        <v>150000</v>
      </c>
      <c r="C9" s="132">
        <v>150000</v>
      </c>
      <c r="D9" s="133">
        <v>3</v>
      </c>
      <c r="E9" s="134"/>
      <c r="F9" s="134"/>
    </row>
    <row r="10" spans="1:7" ht="22.5" x14ac:dyDescent="0.25">
      <c r="A10" s="131" t="s">
        <v>233</v>
      </c>
      <c r="B10" s="132">
        <v>138932075</v>
      </c>
      <c r="C10" s="132">
        <v>138932075</v>
      </c>
      <c r="D10" s="135">
        <v>49725.7</v>
      </c>
      <c r="E10" s="134"/>
      <c r="F10" s="134"/>
      <c r="G10">
        <v>1</v>
      </c>
    </row>
    <row r="11" spans="1:7" x14ac:dyDescent="0.25">
      <c r="A11" s="131" t="s">
        <v>332</v>
      </c>
      <c r="B11" s="132">
        <v>1190</v>
      </c>
      <c r="C11" s="132">
        <v>1190</v>
      </c>
      <c r="D11" s="133">
        <v>340</v>
      </c>
      <c r="E11" s="134"/>
      <c r="F11" s="134"/>
    </row>
    <row r="12" spans="1:7" x14ac:dyDescent="0.25">
      <c r="A12" s="131" t="s">
        <v>313</v>
      </c>
      <c r="B12" s="132">
        <v>35400000</v>
      </c>
      <c r="C12" s="132">
        <v>35400000</v>
      </c>
      <c r="D12" s="133">
        <v>1</v>
      </c>
      <c r="E12" s="134"/>
      <c r="F12" s="134"/>
    </row>
    <row r="13" spans="1:7" ht="22.5" x14ac:dyDescent="0.25">
      <c r="A13" s="131" t="s">
        <v>333</v>
      </c>
      <c r="B13" s="132">
        <v>6729.17</v>
      </c>
      <c r="C13" s="132">
        <v>6729.17</v>
      </c>
      <c r="D13" s="133">
        <v>1</v>
      </c>
      <c r="E13" s="134"/>
      <c r="F13" s="134"/>
    </row>
    <row r="14" spans="1:7" x14ac:dyDescent="0.25">
      <c r="A14" s="131" t="s">
        <v>234</v>
      </c>
      <c r="B14" s="132">
        <v>634449</v>
      </c>
      <c r="C14" s="132">
        <v>634449</v>
      </c>
      <c r="D14" s="135">
        <v>1462.2</v>
      </c>
      <c r="E14" s="134"/>
      <c r="F14" s="134"/>
      <c r="G14">
        <v>1</v>
      </c>
    </row>
    <row r="15" spans="1:7" x14ac:dyDescent="0.25">
      <c r="A15" s="131" t="s">
        <v>274</v>
      </c>
      <c r="B15" s="132">
        <v>52042901.880000003</v>
      </c>
      <c r="C15" s="132">
        <v>52042901.880000003</v>
      </c>
      <c r="D15" s="135">
        <v>149790.39000000001</v>
      </c>
      <c r="E15" s="134"/>
      <c r="F15" s="134"/>
      <c r="G15">
        <v>1</v>
      </c>
    </row>
    <row r="16" spans="1:7" x14ac:dyDescent="0.25">
      <c r="A16" s="131" t="s">
        <v>314</v>
      </c>
      <c r="B16" s="132">
        <v>850695</v>
      </c>
      <c r="C16" s="132">
        <v>850695</v>
      </c>
      <c r="D16" s="135">
        <v>2477.85</v>
      </c>
      <c r="E16" s="134"/>
      <c r="F16" s="134"/>
      <c r="G16">
        <v>1</v>
      </c>
    </row>
    <row r="17" spans="1:7" x14ac:dyDescent="0.25">
      <c r="A17" s="131" t="s">
        <v>275</v>
      </c>
      <c r="B17" s="132">
        <v>48622</v>
      </c>
      <c r="C17" s="132">
        <v>48622</v>
      </c>
      <c r="D17" s="133">
        <v>84.56</v>
      </c>
      <c r="E17" s="134"/>
      <c r="F17" s="134"/>
      <c r="G17">
        <v>1</v>
      </c>
    </row>
    <row r="18" spans="1:7" x14ac:dyDescent="0.25">
      <c r="A18" s="131" t="s">
        <v>235</v>
      </c>
      <c r="B18" s="132">
        <v>9292885.1500000004</v>
      </c>
      <c r="C18" s="132">
        <v>9292885.1500000004</v>
      </c>
      <c r="D18" s="135">
        <v>20470.990000000002</v>
      </c>
      <c r="E18" s="134"/>
      <c r="F18" s="134"/>
      <c r="G18">
        <v>1</v>
      </c>
    </row>
    <row r="19" spans="1:7" x14ac:dyDescent="0.25">
      <c r="A19" s="131" t="s">
        <v>236</v>
      </c>
      <c r="B19" s="132">
        <v>6904024.6699999999</v>
      </c>
      <c r="C19" s="132">
        <v>6904024.6699999999</v>
      </c>
      <c r="D19" s="135">
        <v>12226.7</v>
      </c>
      <c r="E19" s="134"/>
      <c r="F19" s="134"/>
      <c r="G19">
        <v>1</v>
      </c>
    </row>
    <row r="20" spans="1:7" x14ac:dyDescent="0.25">
      <c r="A20" s="131" t="s">
        <v>237</v>
      </c>
      <c r="B20" s="132">
        <v>14255066.83</v>
      </c>
      <c r="C20" s="132">
        <v>14255066.83</v>
      </c>
      <c r="D20" s="135">
        <v>28726.974999999999</v>
      </c>
      <c r="E20" s="134"/>
      <c r="F20" s="134"/>
      <c r="G20">
        <v>1</v>
      </c>
    </row>
    <row r="21" spans="1:7" x14ac:dyDescent="0.25">
      <c r="A21" s="131" t="s">
        <v>276</v>
      </c>
      <c r="B21" s="132">
        <v>6936555.2000000002</v>
      </c>
      <c r="C21" s="132">
        <v>6936555.2000000002</v>
      </c>
      <c r="D21" s="135">
        <v>12653.91</v>
      </c>
      <c r="E21" s="134"/>
      <c r="F21" s="134"/>
      <c r="G21">
        <v>1</v>
      </c>
    </row>
    <row r="22" spans="1:7" x14ac:dyDescent="0.25">
      <c r="A22" s="131" t="s">
        <v>277</v>
      </c>
      <c r="B22" s="132">
        <v>23072615.550000001</v>
      </c>
      <c r="C22" s="132">
        <v>23072615.550000001</v>
      </c>
      <c r="D22" s="135">
        <v>48411.33</v>
      </c>
      <c r="E22" s="134"/>
      <c r="F22" s="134"/>
      <c r="G22">
        <v>1</v>
      </c>
    </row>
    <row r="23" spans="1:7" x14ac:dyDescent="0.25">
      <c r="A23" s="131" t="s">
        <v>278</v>
      </c>
      <c r="B23" s="132">
        <v>126675876.72</v>
      </c>
      <c r="C23" s="132">
        <v>126675876.72</v>
      </c>
      <c r="D23" s="135">
        <v>223279.8</v>
      </c>
      <c r="E23" s="134"/>
      <c r="F23" s="134"/>
      <c r="G23">
        <v>1</v>
      </c>
    </row>
    <row r="24" spans="1:7" x14ac:dyDescent="0.25">
      <c r="A24" s="131" t="s">
        <v>279</v>
      </c>
      <c r="B24" s="132">
        <v>6923289.2000000002</v>
      </c>
      <c r="C24" s="132">
        <v>6923289.2000000002</v>
      </c>
      <c r="D24" s="135">
        <v>13687.4</v>
      </c>
      <c r="E24" s="134"/>
      <c r="F24" s="134"/>
      <c r="G24">
        <v>1</v>
      </c>
    </row>
    <row r="25" spans="1:7" x14ac:dyDescent="0.25">
      <c r="A25" s="131" t="s">
        <v>280</v>
      </c>
      <c r="B25" s="132">
        <v>63465157.490000002</v>
      </c>
      <c r="C25" s="132">
        <v>63465157.490000002</v>
      </c>
      <c r="D25" s="135">
        <v>116617.55</v>
      </c>
      <c r="E25" s="134"/>
      <c r="F25" s="134"/>
      <c r="G25">
        <v>1</v>
      </c>
    </row>
    <row r="26" spans="1:7" x14ac:dyDescent="0.25">
      <c r="A26" s="131" t="s">
        <v>281</v>
      </c>
      <c r="B26" s="132">
        <v>44108911.5</v>
      </c>
      <c r="C26" s="132">
        <v>44108911.5</v>
      </c>
      <c r="D26" s="135">
        <v>101371.01</v>
      </c>
      <c r="E26" s="134"/>
      <c r="F26" s="134"/>
      <c r="G26">
        <v>1</v>
      </c>
    </row>
    <row r="27" spans="1:7" x14ac:dyDescent="0.25">
      <c r="A27" s="131" t="s">
        <v>282</v>
      </c>
      <c r="B27" s="132">
        <v>711288082.84000003</v>
      </c>
      <c r="C27" s="132">
        <v>711288082.84000003</v>
      </c>
      <c r="D27" s="135">
        <v>1236215.46</v>
      </c>
      <c r="E27" s="134"/>
      <c r="F27" s="134"/>
      <c r="G27">
        <v>1</v>
      </c>
    </row>
    <row r="28" spans="1:7" x14ac:dyDescent="0.25">
      <c r="A28" s="131" t="s">
        <v>283</v>
      </c>
      <c r="B28" s="132">
        <v>22623305.399999999</v>
      </c>
      <c r="C28" s="132">
        <v>22623305.399999999</v>
      </c>
      <c r="D28" s="135">
        <v>45857.32</v>
      </c>
      <c r="E28" s="134"/>
      <c r="F28" s="134"/>
      <c r="G28">
        <v>1</v>
      </c>
    </row>
    <row r="29" spans="1:7" x14ac:dyDescent="0.25">
      <c r="A29" s="131" t="s">
        <v>284</v>
      </c>
      <c r="B29" s="132">
        <v>180846442.09999999</v>
      </c>
      <c r="C29" s="132">
        <v>180846442.09999999</v>
      </c>
      <c r="D29" s="135">
        <v>314229.62</v>
      </c>
      <c r="E29" s="134"/>
      <c r="F29" s="134"/>
      <c r="G29">
        <v>1</v>
      </c>
    </row>
    <row r="30" spans="1:7" x14ac:dyDescent="0.25">
      <c r="A30" s="131" t="s">
        <v>315</v>
      </c>
      <c r="B30" s="132">
        <v>11886310.449999999</v>
      </c>
      <c r="C30" s="132">
        <v>11886310.449999999</v>
      </c>
      <c r="D30" s="135">
        <v>24860.400000000001</v>
      </c>
      <c r="E30" s="134"/>
      <c r="F30" s="134"/>
      <c r="G30">
        <v>1</v>
      </c>
    </row>
    <row r="31" spans="1:7" x14ac:dyDescent="0.25">
      <c r="A31" s="131" t="s">
        <v>285</v>
      </c>
      <c r="B31" s="132">
        <v>1614430780.4000001</v>
      </c>
      <c r="C31" s="132">
        <v>1614430780.4000001</v>
      </c>
      <c r="D31" s="135">
        <v>2686817.7</v>
      </c>
      <c r="E31" s="134"/>
      <c r="F31" s="134"/>
      <c r="G31">
        <v>1</v>
      </c>
    </row>
    <row r="32" spans="1:7" x14ac:dyDescent="0.25">
      <c r="A32" s="131" t="s">
        <v>286</v>
      </c>
      <c r="B32" s="132">
        <v>4238258.2</v>
      </c>
      <c r="C32" s="132">
        <v>4238258.2</v>
      </c>
      <c r="D32" s="135">
        <v>8038.39</v>
      </c>
      <c r="E32" s="134"/>
      <c r="F32" s="134"/>
      <c r="G32">
        <v>1</v>
      </c>
    </row>
    <row r="33" spans="1:7" x14ac:dyDescent="0.25">
      <c r="A33" s="131" t="s">
        <v>287</v>
      </c>
      <c r="B33" s="132">
        <v>147273567.34999999</v>
      </c>
      <c r="C33" s="132">
        <v>147273567.34999999</v>
      </c>
      <c r="D33" s="135">
        <v>241946.51</v>
      </c>
      <c r="E33" s="134"/>
      <c r="F33" s="134"/>
      <c r="G33">
        <v>1</v>
      </c>
    </row>
    <row r="34" spans="1:7" x14ac:dyDescent="0.25">
      <c r="A34" s="131" t="s">
        <v>316</v>
      </c>
      <c r="B34" s="132">
        <v>6820723.9000000004</v>
      </c>
      <c r="C34" s="132">
        <v>6820723.9000000004</v>
      </c>
      <c r="D34" s="135">
        <v>12747.47</v>
      </c>
      <c r="E34" s="134"/>
      <c r="F34" s="134"/>
      <c r="G34">
        <v>1</v>
      </c>
    </row>
    <row r="35" spans="1:7" x14ac:dyDescent="0.25">
      <c r="A35" s="131" t="s">
        <v>288</v>
      </c>
      <c r="B35" s="132">
        <v>1332093716.04</v>
      </c>
      <c r="C35" s="132">
        <v>1332093716.04</v>
      </c>
      <c r="D35" s="135">
        <v>2121100.64</v>
      </c>
      <c r="E35" s="134"/>
      <c r="F35" s="134"/>
      <c r="G35">
        <v>1</v>
      </c>
    </row>
    <row r="36" spans="1:7" x14ac:dyDescent="0.25">
      <c r="A36" s="131" t="s">
        <v>289</v>
      </c>
      <c r="B36" s="132">
        <v>8386960.2000000002</v>
      </c>
      <c r="C36" s="132">
        <v>8386960.2000000002</v>
      </c>
      <c r="D36" s="135">
        <v>15511.6</v>
      </c>
      <c r="E36" s="134"/>
      <c r="F36" s="134"/>
      <c r="G36">
        <v>1</v>
      </c>
    </row>
    <row r="37" spans="1:7" x14ac:dyDescent="0.25">
      <c r="A37" s="131" t="s">
        <v>290</v>
      </c>
      <c r="B37" s="132">
        <v>58787702.009999998</v>
      </c>
      <c r="C37" s="132">
        <v>58787702.009999998</v>
      </c>
      <c r="D37" s="135">
        <v>92940.47</v>
      </c>
      <c r="E37" s="134"/>
      <c r="F37" s="134"/>
      <c r="G37">
        <v>1</v>
      </c>
    </row>
    <row r="38" spans="1:7" x14ac:dyDescent="0.25">
      <c r="A38" s="131" t="s">
        <v>334</v>
      </c>
      <c r="B38" s="132">
        <v>7037704.0999999996</v>
      </c>
      <c r="C38" s="132">
        <v>7037704.0999999996</v>
      </c>
      <c r="D38" s="135">
        <v>12565.81</v>
      </c>
      <c r="E38" s="134"/>
      <c r="F38" s="134"/>
      <c r="G38">
        <v>1</v>
      </c>
    </row>
    <row r="39" spans="1:7" x14ac:dyDescent="0.25">
      <c r="A39" s="131" t="s">
        <v>291</v>
      </c>
      <c r="B39" s="132">
        <v>507920116.20999998</v>
      </c>
      <c r="C39" s="132">
        <v>507920116.20999998</v>
      </c>
      <c r="D39" s="135">
        <v>779907.01</v>
      </c>
      <c r="E39" s="134"/>
      <c r="F39" s="134"/>
      <c r="G39">
        <v>1</v>
      </c>
    </row>
    <row r="40" spans="1:7" x14ac:dyDescent="0.25">
      <c r="A40" s="131" t="s">
        <v>317</v>
      </c>
      <c r="B40" s="132">
        <v>9485347.4000000004</v>
      </c>
      <c r="C40" s="132">
        <v>9485347.4000000004</v>
      </c>
      <c r="D40" s="135">
        <v>15787.26</v>
      </c>
      <c r="E40" s="134"/>
      <c r="F40" s="134"/>
      <c r="G40">
        <v>1</v>
      </c>
    </row>
    <row r="41" spans="1:7" x14ac:dyDescent="0.25">
      <c r="A41" s="131" t="s">
        <v>292</v>
      </c>
      <c r="B41" s="132">
        <v>13278900.65</v>
      </c>
      <c r="C41" s="132">
        <v>13278900.65</v>
      </c>
      <c r="D41" s="135">
        <v>21078.89</v>
      </c>
      <c r="E41" s="134"/>
      <c r="F41" s="134"/>
      <c r="G41">
        <v>1</v>
      </c>
    </row>
    <row r="42" spans="1:7" x14ac:dyDescent="0.25">
      <c r="A42" s="131" t="s">
        <v>318</v>
      </c>
      <c r="B42" s="132">
        <v>3444765</v>
      </c>
      <c r="C42" s="132">
        <v>3444765</v>
      </c>
      <c r="D42" s="135">
        <v>6158.62</v>
      </c>
      <c r="E42" s="134"/>
      <c r="F42" s="134"/>
      <c r="G42">
        <v>1</v>
      </c>
    </row>
    <row r="43" spans="1:7" x14ac:dyDescent="0.25">
      <c r="A43" s="131" t="s">
        <v>293</v>
      </c>
      <c r="B43" s="132">
        <v>115397418.11</v>
      </c>
      <c r="C43" s="132">
        <v>115397418.11</v>
      </c>
      <c r="D43" s="135">
        <v>176581.24</v>
      </c>
      <c r="E43" s="134"/>
      <c r="F43" s="134"/>
      <c r="G43">
        <v>1</v>
      </c>
    </row>
    <row r="44" spans="1:7" x14ac:dyDescent="0.25">
      <c r="A44" s="131" t="s">
        <v>294</v>
      </c>
      <c r="B44" s="132">
        <v>7107052.2999999998</v>
      </c>
      <c r="C44" s="132">
        <v>7107052.2999999998</v>
      </c>
      <c r="D44" s="135">
        <v>11649.66</v>
      </c>
      <c r="E44" s="134"/>
      <c r="F44" s="134"/>
      <c r="G44">
        <v>1</v>
      </c>
    </row>
    <row r="45" spans="1:7" x14ac:dyDescent="0.25">
      <c r="A45" s="131" t="s">
        <v>319</v>
      </c>
      <c r="B45" s="132">
        <v>2677626.67</v>
      </c>
      <c r="C45" s="132">
        <v>2677626.67</v>
      </c>
      <c r="D45" s="135">
        <v>4210.16</v>
      </c>
      <c r="E45" s="134"/>
      <c r="F45" s="134"/>
      <c r="G45">
        <v>1</v>
      </c>
    </row>
    <row r="46" spans="1:7" x14ac:dyDescent="0.25">
      <c r="A46" s="131" t="s">
        <v>320</v>
      </c>
      <c r="B46" s="132">
        <v>728338.5</v>
      </c>
      <c r="C46" s="132">
        <v>728338.5</v>
      </c>
      <c r="D46" s="135">
        <v>1329.34</v>
      </c>
      <c r="E46" s="134"/>
      <c r="F46" s="134"/>
      <c r="G46">
        <v>1</v>
      </c>
    </row>
    <row r="47" spans="1:7" x14ac:dyDescent="0.25">
      <c r="A47" s="131" t="s">
        <v>295</v>
      </c>
      <c r="B47" s="132">
        <v>17991774.920000002</v>
      </c>
      <c r="C47" s="132">
        <v>17991774.920000002</v>
      </c>
      <c r="D47" s="135">
        <v>28027.11</v>
      </c>
      <c r="E47" s="134"/>
      <c r="F47" s="134"/>
      <c r="G47">
        <v>1</v>
      </c>
    </row>
    <row r="48" spans="1:7" x14ac:dyDescent="0.25">
      <c r="A48" s="131" t="s">
        <v>321</v>
      </c>
      <c r="B48" s="132">
        <v>3523109.65</v>
      </c>
      <c r="C48" s="132">
        <v>3523109.65</v>
      </c>
      <c r="D48" s="135">
        <v>5724.73</v>
      </c>
      <c r="E48" s="134"/>
      <c r="F48" s="134"/>
      <c r="G48">
        <v>1</v>
      </c>
    </row>
    <row r="49" spans="1:7" ht="22.5" x14ac:dyDescent="0.25">
      <c r="A49" s="131" t="s">
        <v>239</v>
      </c>
      <c r="B49" s="132">
        <v>225854.5</v>
      </c>
      <c r="C49" s="132">
        <v>225854.5</v>
      </c>
      <c r="D49" s="133">
        <v>483.5</v>
      </c>
      <c r="E49" s="134"/>
      <c r="F49" s="134"/>
      <c r="G49">
        <v>1</v>
      </c>
    </row>
    <row r="50" spans="1:7" ht="22.5" x14ac:dyDescent="0.25">
      <c r="A50" s="131" t="s">
        <v>246</v>
      </c>
      <c r="B50" s="132">
        <v>689400</v>
      </c>
      <c r="C50" s="132">
        <v>689400</v>
      </c>
      <c r="D50" s="135">
        <v>2298</v>
      </c>
      <c r="E50" s="134"/>
      <c r="F50" s="134"/>
      <c r="G50">
        <v>1</v>
      </c>
    </row>
    <row r="51" spans="1:7" ht="22.5" x14ac:dyDescent="0.25">
      <c r="A51" s="131" t="s">
        <v>296</v>
      </c>
      <c r="B51" s="132">
        <v>5011305.3600000003</v>
      </c>
      <c r="C51" s="132">
        <v>5011305.3600000003</v>
      </c>
      <c r="D51" s="135">
        <v>9982.68</v>
      </c>
      <c r="E51" s="134"/>
      <c r="F51" s="134"/>
      <c r="G51">
        <v>1</v>
      </c>
    </row>
    <row r="52" spans="1:7" x14ac:dyDescent="0.25">
      <c r="A52" s="131" t="s">
        <v>322</v>
      </c>
      <c r="B52" s="132">
        <v>37000</v>
      </c>
      <c r="C52" s="132">
        <v>36999.99</v>
      </c>
      <c r="D52" s="133">
        <v>4</v>
      </c>
      <c r="E52" s="136">
        <v>-0.01</v>
      </c>
      <c r="F52" s="136">
        <v>0</v>
      </c>
    </row>
    <row r="53" spans="1:7" ht="22.5" x14ac:dyDescent="0.25">
      <c r="A53" s="131" t="s">
        <v>323</v>
      </c>
      <c r="B53" s="132">
        <v>9171</v>
      </c>
      <c r="C53" s="132">
        <v>9171</v>
      </c>
      <c r="D53" s="133">
        <v>1</v>
      </c>
      <c r="E53" s="134"/>
      <c r="F53" s="134"/>
    </row>
    <row r="54" spans="1:7" x14ac:dyDescent="0.25">
      <c r="A54" s="131" t="s">
        <v>324</v>
      </c>
      <c r="B54" s="132">
        <v>10609.4</v>
      </c>
      <c r="C54" s="132">
        <v>10609.38</v>
      </c>
      <c r="D54" s="133">
        <v>10</v>
      </c>
      <c r="E54" s="136">
        <v>-0.02</v>
      </c>
      <c r="F54" s="136">
        <v>0</v>
      </c>
    </row>
    <row r="55" spans="1:7" ht="33.75" x14ac:dyDescent="0.25">
      <c r="A55" s="131" t="s">
        <v>335</v>
      </c>
      <c r="B55" s="132">
        <v>86406</v>
      </c>
      <c r="C55" s="132">
        <v>86406</v>
      </c>
      <c r="D55" s="133">
        <v>1</v>
      </c>
      <c r="E55" s="134"/>
      <c r="F55" s="134"/>
    </row>
    <row r="56" spans="1:7" x14ac:dyDescent="0.25">
      <c r="A56" s="131" t="s">
        <v>325</v>
      </c>
      <c r="B56" s="132">
        <v>567000</v>
      </c>
      <c r="C56" s="132">
        <v>566991.18000000005</v>
      </c>
      <c r="D56" s="135">
        <v>6300</v>
      </c>
      <c r="E56" s="136">
        <v>-8.82</v>
      </c>
      <c r="F56" s="136">
        <v>0</v>
      </c>
    </row>
    <row r="57" spans="1:7" x14ac:dyDescent="0.25">
      <c r="A57" s="131" t="s">
        <v>336</v>
      </c>
      <c r="B57" s="132">
        <v>4204</v>
      </c>
      <c r="C57" s="132">
        <v>4203.96</v>
      </c>
      <c r="D57" s="133">
        <v>12</v>
      </c>
      <c r="E57" s="136">
        <v>-0.04</v>
      </c>
      <c r="F57" s="136">
        <v>0</v>
      </c>
    </row>
    <row r="58" spans="1:7" x14ac:dyDescent="0.25">
      <c r="A58" s="131" t="s">
        <v>337</v>
      </c>
      <c r="B58" s="132">
        <v>1224</v>
      </c>
      <c r="C58" s="132">
        <v>1224</v>
      </c>
      <c r="D58" s="133">
        <v>102</v>
      </c>
      <c r="E58" s="134"/>
      <c r="F58" s="134"/>
    </row>
    <row r="59" spans="1:7" x14ac:dyDescent="0.25">
      <c r="A59" s="131" t="s">
        <v>338</v>
      </c>
      <c r="B59" s="132">
        <v>10503</v>
      </c>
      <c r="C59" s="132">
        <v>10503</v>
      </c>
      <c r="D59" s="135">
        <v>1167</v>
      </c>
      <c r="E59" s="134"/>
      <c r="F59" s="134"/>
    </row>
    <row r="60" spans="1:7" x14ac:dyDescent="0.25">
      <c r="A60" s="131" t="s">
        <v>339</v>
      </c>
      <c r="B60" s="132">
        <v>2198</v>
      </c>
      <c r="C60" s="132">
        <v>2198</v>
      </c>
      <c r="D60" s="133">
        <v>157</v>
      </c>
      <c r="E60" s="134"/>
      <c r="F60" s="134"/>
    </row>
    <row r="61" spans="1:7" x14ac:dyDescent="0.25">
      <c r="A61" s="131" t="s">
        <v>340</v>
      </c>
      <c r="B61" s="132">
        <v>5000</v>
      </c>
      <c r="C61" s="132">
        <v>5000</v>
      </c>
      <c r="D61" s="133">
        <v>1</v>
      </c>
      <c r="E61" s="134"/>
      <c r="F61" s="134"/>
    </row>
    <row r="62" spans="1:7" ht="22.5" x14ac:dyDescent="0.25">
      <c r="A62" s="131" t="s">
        <v>251</v>
      </c>
      <c r="B62" s="132">
        <v>150000</v>
      </c>
      <c r="C62" s="132">
        <v>150000</v>
      </c>
      <c r="D62" s="133">
        <v>3</v>
      </c>
      <c r="E62" s="134"/>
      <c r="F62" s="134"/>
    </row>
    <row r="63" spans="1:7" x14ac:dyDescent="0.25">
      <c r="A63" s="131" t="s">
        <v>303</v>
      </c>
      <c r="B63" s="132">
        <v>39191068.850000001</v>
      </c>
      <c r="C63" s="132">
        <v>39191068.850000001</v>
      </c>
      <c r="D63" s="133">
        <v>15</v>
      </c>
      <c r="E63" s="134"/>
      <c r="F63" s="134"/>
    </row>
    <row r="64" spans="1:7" x14ac:dyDescent="0.25">
      <c r="A64" s="131" t="s">
        <v>252</v>
      </c>
      <c r="B64" s="132">
        <v>14094400</v>
      </c>
      <c r="C64" s="132">
        <v>14094400</v>
      </c>
      <c r="D64" s="135">
        <v>181240</v>
      </c>
      <c r="E64" s="134"/>
      <c r="F64" s="134"/>
    </row>
    <row r="65" spans="1:7" x14ac:dyDescent="0.25">
      <c r="A65" s="131" t="s">
        <v>326</v>
      </c>
      <c r="B65" s="132">
        <v>956319.5</v>
      </c>
      <c r="C65" s="132">
        <v>956319.5</v>
      </c>
      <c r="D65" s="133">
        <v>510</v>
      </c>
      <c r="E65" s="134"/>
      <c r="F65" s="134"/>
    </row>
    <row r="66" spans="1:7" ht="22.5" x14ac:dyDescent="0.25">
      <c r="A66" s="131" t="s">
        <v>254</v>
      </c>
      <c r="B66" s="132">
        <v>163316.59</v>
      </c>
      <c r="C66" s="132">
        <v>163316.59</v>
      </c>
      <c r="D66" s="133">
        <v>7</v>
      </c>
      <c r="E66" s="134"/>
      <c r="F66" s="134"/>
    </row>
    <row r="67" spans="1:7" x14ac:dyDescent="0.25">
      <c r="A67" s="131" t="s">
        <v>255</v>
      </c>
      <c r="B67" s="132">
        <v>25658746.98</v>
      </c>
      <c r="C67" s="132">
        <v>25658747.050000001</v>
      </c>
      <c r="D67" s="133">
        <v>9</v>
      </c>
      <c r="E67" s="136">
        <v>7.0000000000000007E-2</v>
      </c>
      <c r="F67" s="136">
        <v>0</v>
      </c>
    </row>
    <row r="68" spans="1:7" x14ac:dyDescent="0.25">
      <c r="A68" s="131" t="s">
        <v>327</v>
      </c>
      <c r="B68" s="132">
        <v>34943235.170000002</v>
      </c>
      <c r="C68" s="132">
        <v>34943235.170000002</v>
      </c>
      <c r="D68" s="133">
        <v>8</v>
      </c>
      <c r="E68" s="134"/>
      <c r="F68" s="134"/>
    </row>
    <row r="69" spans="1:7" x14ac:dyDescent="0.25">
      <c r="A69" s="131" t="s">
        <v>258</v>
      </c>
      <c r="B69" s="132">
        <v>4424801.8</v>
      </c>
      <c r="C69" s="132">
        <v>4424801.8</v>
      </c>
      <c r="D69" s="135">
        <v>13042.9</v>
      </c>
      <c r="E69" s="134"/>
      <c r="F69" s="134"/>
      <c r="G69">
        <v>1</v>
      </c>
    </row>
    <row r="70" spans="1:7" x14ac:dyDescent="0.25">
      <c r="A70" s="131" t="s">
        <v>341</v>
      </c>
      <c r="B70" s="132">
        <v>6633118.2000000002</v>
      </c>
      <c r="C70" s="132">
        <v>6633118.2000000002</v>
      </c>
      <c r="D70" s="135">
        <v>16915.2</v>
      </c>
      <c r="E70" s="134"/>
      <c r="F70" s="134"/>
      <c r="G70">
        <v>1</v>
      </c>
    </row>
    <row r="71" spans="1:7" x14ac:dyDescent="0.25">
      <c r="A71" s="131" t="s">
        <v>342</v>
      </c>
      <c r="B71" s="132">
        <v>470509.8</v>
      </c>
      <c r="C71" s="132">
        <v>470509.8</v>
      </c>
      <c r="D71" s="135">
        <v>1339.7</v>
      </c>
      <c r="E71" s="134"/>
      <c r="F71" s="134"/>
      <c r="G71">
        <v>1</v>
      </c>
    </row>
    <row r="72" spans="1:7" x14ac:dyDescent="0.25">
      <c r="A72" s="131" t="s">
        <v>259</v>
      </c>
      <c r="B72" s="132">
        <v>123196227.09999999</v>
      </c>
      <c r="C72" s="132">
        <v>123373635.09999999</v>
      </c>
      <c r="D72" s="135">
        <v>307221.59999999998</v>
      </c>
      <c r="E72" s="132">
        <v>177408</v>
      </c>
      <c r="F72" s="136">
        <v>0.14000000000000001</v>
      </c>
      <c r="G72">
        <v>1</v>
      </c>
    </row>
    <row r="73" spans="1:7" x14ac:dyDescent="0.25">
      <c r="A73" s="131" t="s">
        <v>343</v>
      </c>
      <c r="B73" s="132">
        <v>89883117.939999998</v>
      </c>
      <c r="C73" s="132">
        <v>89883117.939999998</v>
      </c>
      <c r="D73" s="135">
        <v>216153.47</v>
      </c>
      <c r="E73" s="134"/>
      <c r="F73" s="134"/>
      <c r="G73">
        <v>1</v>
      </c>
    </row>
    <row r="74" spans="1:7" x14ac:dyDescent="0.25">
      <c r="A74" s="131" t="s">
        <v>344</v>
      </c>
      <c r="B74" s="132">
        <v>59520</v>
      </c>
      <c r="C74" s="132">
        <v>59520</v>
      </c>
      <c r="D74" s="133">
        <v>160</v>
      </c>
      <c r="E74" s="134"/>
      <c r="F74" s="134"/>
      <c r="G74">
        <v>1</v>
      </c>
    </row>
    <row r="75" spans="1:7" x14ac:dyDescent="0.25">
      <c r="A75" s="131" t="s">
        <v>310</v>
      </c>
      <c r="B75" s="132">
        <v>326029199.69999999</v>
      </c>
      <c r="C75" s="132">
        <v>326029199.69999999</v>
      </c>
      <c r="D75" s="135">
        <v>690989.1</v>
      </c>
      <c r="E75" s="134"/>
      <c r="F75" s="134"/>
      <c r="G75">
        <v>1</v>
      </c>
    </row>
    <row r="76" spans="1:7" x14ac:dyDescent="0.25">
      <c r="A76" s="131" t="s">
        <v>311</v>
      </c>
      <c r="B76" s="132">
        <v>9766093.1999999993</v>
      </c>
      <c r="C76" s="132">
        <v>9766093.1999999993</v>
      </c>
      <c r="D76" s="135">
        <v>19571.3</v>
      </c>
      <c r="E76" s="134"/>
      <c r="F76" s="134"/>
      <c r="G76">
        <v>1</v>
      </c>
    </row>
    <row r="77" spans="1:7" x14ac:dyDescent="0.25">
      <c r="A77" s="131" t="s">
        <v>260</v>
      </c>
      <c r="B77" s="132">
        <v>227630.5</v>
      </c>
      <c r="C77" s="132">
        <v>227630.5</v>
      </c>
      <c r="D77" s="133">
        <v>606.5</v>
      </c>
      <c r="E77" s="134"/>
      <c r="F77" s="134"/>
      <c r="G77">
        <v>1</v>
      </c>
    </row>
    <row r="78" spans="1:7" x14ac:dyDescent="0.25">
      <c r="A78" s="131" t="s">
        <v>345</v>
      </c>
      <c r="B78" s="132">
        <v>57564</v>
      </c>
      <c r="C78" s="132">
        <v>57564</v>
      </c>
      <c r="D78" s="133">
        <v>281.8</v>
      </c>
      <c r="E78" s="134"/>
      <c r="F78" s="134"/>
      <c r="G78">
        <v>1</v>
      </c>
    </row>
    <row r="79" spans="1:7" x14ac:dyDescent="0.25">
      <c r="A79" s="131" t="s">
        <v>328</v>
      </c>
      <c r="B79" s="132">
        <v>11469179.5</v>
      </c>
      <c r="C79" s="132">
        <v>11469179.5</v>
      </c>
      <c r="D79" s="135">
        <v>62426.5</v>
      </c>
      <c r="E79" s="134"/>
      <c r="F79" s="134"/>
      <c r="G79">
        <v>1</v>
      </c>
    </row>
    <row r="80" spans="1:7" x14ac:dyDescent="0.25">
      <c r="A80" s="131" t="s">
        <v>346</v>
      </c>
      <c r="B80" s="132">
        <v>1564776.66</v>
      </c>
      <c r="C80" s="132">
        <v>1564776.66</v>
      </c>
      <c r="D80" s="135">
        <v>3650.76</v>
      </c>
      <c r="E80" s="134"/>
      <c r="F80" s="134"/>
      <c r="G80">
        <v>1</v>
      </c>
    </row>
    <row r="81" spans="1:7" x14ac:dyDescent="0.25">
      <c r="A81" s="131" t="s">
        <v>347</v>
      </c>
      <c r="B81" s="132">
        <v>144746.84</v>
      </c>
      <c r="C81" s="132">
        <v>144746.84</v>
      </c>
      <c r="D81" s="133">
        <v>359.42</v>
      </c>
      <c r="E81" s="134"/>
      <c r="F81" s="134"/>
      <c r="G81">
        <v>1</v>
      </c>
    </row>
    <row r="82" spans="1:7" x14ac:dyDescent="0.25">
      <c r="A82" s="131" t="s">
        <v>329</v>
      </c>
      <c r="B82" s="132">
        <v>9710985.1999999993</v>
      </c>
      <c r="C82" s="132">
        <v>9710985.1999999993</v>
      </c>
      <c r="D82" s="135">
        <v>29936.720000000001</v>
      </c>
      <c r="E82" s="134"/>
      <c r="F82" s="134"/>
      <c r="G82">
        <v>1</v>
      </c>
    </row>
    <row r="83" spans="1:7" x14ac:dyDescent="0.25">
      <c r="A83" s="131" t="s">
        <v>348</v>
      </c>
      <c r="B83" s="132">
        <v>2118567.54</v>
      </c>
      <c r="C83" s="132">
        <v>2118567.54</v>
      </c>
      <c r="D83" s="135">
        <v>4782.66</v>
      </c>
      <c r="E83" s="134"/>
      <c r="F83" s="134"/>
      <c r="G83">
        <v>1</v>
      </c>
    </row>
    <row r="84" spans="1:7" x14ac:dyDescent="0.25">
      <c r="A84" s="131" t="s">
        <v>349</v>
      </c>
      <c r="B84" s="132">
        <v>5120710.16</v>
      </c>
      <c r="C84" s="132">
        <v>5120710.16</v>
      </c>
      <c r="D84" s="135">
        <v>10623.88</v>
      </c>
      <c r="E84" s="134"/>
      <c r="F84" s="134"/>
      <c r="G84">
        <v>1</v>
      </c>
    </row>
    <row r="85" spans="1:7" x14ac:dyDescent="0.25">
      <c r="A85" s="131" t="s">
        <v>350</v>
      </c>
      <c r="B85" s="132">
        <v>776867.83999999997</v>
      </c>
      <c r="C85" s="132">
        <v>776867.83999999997</v>
      </c>
      <c r="D85" s="135">
        <v>1517.32</v>
      </c>
      <c r="E85" s="134"/>
      <c r="F85" s="134"/>
      <c r="G85">
        <v>1</v>
      </c>
    </row>
    <row r="86" spans="1:7" x14ac:dyDescent="0.25">
      <c r="A86" s="131" t="s">
        <v>330</v>
      </c>
      <c r="B86" s="132">
        <v>31747.5</v>
      </c>
      <c r="C86" s="132">
        <v>31747.5</v>
      </c>
      <c r="D86" s="133">
        <v>74.7</v>
      </c>
      <c r="E86" s="134"/>
      <c r="F86" s="134"/>
      <c r="G86">
        <v>1</v>
      </c>
    </row>
    <row r="87" spans="1:7" x14ac:dyDescent="0.25">
      <c r="A87" s="131" t="s">
        <v>262</v>
      </c>
      <c r="B87" s="132">
        <v>2840500</v>
      </c>
      <c r="C87" s="132">
        <v>2840500</v>
      </c>
      <c r="D87" s="135">
        <v>4370</v>
      </c>
      <c r="E87" s="134"/>
      <c r="F87" s="134"/>
    </row>
    <row r="88" spans="1:7" x14ac:dyDescent="0.25">
      <c r="A88" s="131" t="s">
        <v>263</v>
      </c>
      <c r="B88" s="132">
        <v>593600</v>
      </c>
      <c r="C88" s="132">
        <v>593603.73</v>
      </c>
      <c r="D88" s="133">
        <v>742</v>
      </c>
      <c r="E88" s="136">
        <v>3.73</v>
      </c>
      <c r="F88" s="136">
        <v>0</v>
      </c>
    </row>
    <row r="89" spans="1:7" x14ac:dyDescent="0.25">
      <c r="A89" s="137"/>
      <c r="B89" s="137"/>
      <c r="C89" s="137"/>
      <c r="D89" s="137"/>
      <c r="E89" s="137"/>
      <c r="F89" s="137"/>
    </row>
    <row r="90" spans="1:7" x14ac:dyDescent="0.25">
      <c r="A90" s="129" t="s">
        <v>264</v>
      </c>
      <c r="B90" s="138">
        <v>6095584492.96</v>
      </c>
      <c r="C90" s="138">
        <v>6095764649.7399988</v>
      </c>
      <c r="D90" s="139">
        <v>10263735.682</v>
      </c>
      <c r="E90" s="138">
        <v>180156.78</v>
      </c>
      <c r="F90" s="14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8"/>
  <sheetViews>
    <sheetView showGridLines="0" topLeftCell="A2" workbookViewId="0">
      <selection activeCell="P5" sqref="P5"/>
    </sheetView>
  </sheetViews>
  <sheetFormatPr defaultRowHeight="15" x14ac:dyDescent="0.25"/>
  <cols>
    <col min="1" max="1" width="58.7109375" customWidth="1"/>
    <col min="2" max="3" width="11.7109375" bestFit="1" customWidth="1"/>
    <col min="4" max="4" width="9.5703125" bestFit="1" customWidth="1"/>
    <col min="5" max="5" width="8.42578125" bestFit="1" customWidth="1"/>
    <col min="6" max="6" width="8.28515625" bestFit="1" customWidth="1"/>
  </cols>
  <sheetData>
    <row r="1" spans="1:7" ht="45" x14ac:dyDescent="0.25">
      <c r="A1" s="141" t="s">
        <v>220</v>
      </c>
      <c r="B1" s="142" t="s">
        <v>221</v>
      </c>
      <c r="C1" s="142" t="s">
        <v>222</v>
      </c>
      <c r="D1" s="142" t="s">
        <v>223</v>
      </c>
      <c r="E1" s="142" t="s">
        <v>224</v>
      </c>
      <c r="F1" s="142" t="s">
        <v>225</v>
      </c>
    </row>
    <row r="2" spans="1:7" x14ac:dyDescent="0.25">
      <c r="A2" s="143" t="s">
        <v>226</v>
      </c>
      <c r="B2" s="144">
        <v>3365445.31</v>
      </c>
      <c r="C2" s="144">
        <v>3365445.31</v>
      </c>
      <c r="D2" s="145">
        <v>1011</v>
      </c>
      <c r="E2" s="146"/>
      <c r="F2" s="146"/>
    </row>
    <row r="3" spans="1:7" x14ac:dyDescent="0.25">
      <c r="A3" s="143" t="s">
        <v>227</v>
      </c>
      <c r="B3" s="144">
        <v>27307366.420000002</v>
      </c>
      <c r="C3" s="144">
        <v>27329299.140000001</v>
      </c>
      <c r="D3" s="145">
        <v>13465.803</v>
      </c>
      <c r="E3" s="144">
        <v>21932.720000000001</v>
      </c>
      <c r="F3" s="147">
        <v>0.08</v>
      </c>
    </row>
    <row r="4" spans="1:7" x14ac:dyDescent="0.25">
      <c r="A4" s="143" t="s">
        <v>229</v>
      </c>
      <c r="B4" s="147">
        <v>408.8</v>
      </c>
      <c r="C4" s="147">
        <v>408.8</v>
      </c>
      <c r="D4" s="148">
        <v>2</v>
      </c>
      <c r="E4" s="146"/>
      <c r="F4" s="146"/>
    </row>
    <row r="5" spans="1:7" x14ac:dyDescent="0.25">
      <c r="A5" s="143" t="s">
        <v>230</v>
      </c>
      <c r="B5" s="144">
        <v>1281.1600000000001</v>
      </c>
      <c r="C5" s="144">
        <v>1281.1600000000001</v>
      </c>
      <c r="D5" s="148">
        <v>6</v>
      </c>
      <c r="E5" s="146"/>
      <c r="F5" s="146"/>
    </row>
    <row r="6" spans="1:7" x14ac:dyDescent="0.25">
      <c r="A6" s="143" t="s">
        <v>233</v>
      </c>
      <c r="B6" s="144">
        <v>31046025</v>
      </c>
      <c r="C6" s="144">
        <v>31046025</v>
      </c>
      <c r="D6" s="145">
        <v>11563.2</v>
      </c>
      <c r="E6" s="146"/>
      <c r="F6" s="146"/>
      <c r="G6">
        <v>1</v>
      </c>
    </row>
    <row r="7" spans="1:7" x14ac:dyDescent="0.25">
      <c r="A7" s="143" t="s">
        <v>351</v>
      </c>
      <c r="B7" s="144">
        <v>20853250</v>
      </c>
      <c r="C7" s="144">
        <v>20853250</v>
      </c>
      <c r="D7" s="145">
        <v>8860</v>
      </c>
      <c r="E7" s="146"/>
      <c r="F7" s="146"/>
      <c r="G7">
        <v>1</v>
      </c>
    </row>
    <row r="8" spans="1:7" x14ac:dyDescent="0.25">
      <c r="A8" s="143" t="s">
        <v>332</v>
      </c>
      <c r="B8" s="144">
        <v>1435</v>
      </c>
      <c r="C8" s="144">
        <v>1435</v>
      </c>
      <c r="D8" s="148">
        <v>350</v>
      </c>
      <c r="E8" s="146"/>
      <c r="F8" s="146"/>
    </row>
    <row r="9" spans="1:7" x14ac:dyDescent="0.25">
      <c r="A9" s="143" t="s">
        <v>313</v>
      </c>
      <c r="B9" s="144">
        <v>45241000</v>
      </c>
      <c r="C9" s="144">
        <v>45241000</v>
      </c>
      <c r="D9" s="148">
        <v>6</v>
      </c>
      <c r="E9" s="146"/>
      <c r="F9" s="146"/>
    </row>
    <row r="10" spans="1:7" x14ac:dyDescent="0.25">
      <c r="A10" s="143" t="s">
        <v>286</v>
      </c>
      <c r="B10" s="144">
        <v>464651</v>
      </c>
      <c r="C10" s="144">
        <v>464651</v>
      </c>
      <c r="D10" s="148">
        <v>781</v>
      </c>
      <c r="E10" s="146"/>
      <c r="F10" s="146"/>
      <c r="G10">
        <v>1</v>
      </c>
    </row>
    <row r="11" spans="1:7" x14ac:dyDescent="0.25">
      <c r="A11" s="143" t="s">
        <v>289</v>
      </c>
      <c r="B11" s="144">
        <v>326672</v>
      </c>
      <c r="C11" s="144">
        <v>326672</v>
      </c>
      <c r="D11" s="148">
        <v>548.5</v>
      </c>
      <c r="E11" s="146"/>
      <c r="F11" s="146"/>
      <c r="G11">
        <v>1</v>
      </c>
    </row>
    <row r="12" spans="1:7" x14ac:dyDescent="0.25">
      <c r="A12" s="143" t="s">
        <v>337</v>
      </c>
      <c r="B12" s="144">
        <v>3424</v>
      </c>
      <c r="C12" s="144">
        <v>3424</v>
      </c>
      <c r="D12" s="148">
        <v>428</v>
      </c>
      <c r="E12" s="146"/>
      <c r="F12" s="146"/>
    </row>
    <row r="13" spans="1:7" x14ac:dyDescent="0.25">
      <c r="A13" s="143" t="s">
        <v>339</v>
      </c>
      <c r="B13" s="144">
        <v>2618</v>
      </c>
      <c r="C13" s="144">
        <v>2618</v>
      </c>
      <c r="D13" s="148">
        <v>187</v>
      </c>
      <c r="E13" s="146"/>
      <c r="F13" s="146"/>
    </row>
    <row r="14" spans="1:7" x14ac:dyDescent="0.25">
      <c r="A14" s="143" t="s">
        <v>252</v>
      </c>
      <c r="B14" s="144">
        <v>6182400</v>
      </c>
      <c r="C14" s="144">
        <v>6182400</v>
      </c>
      <c r="D14" s="145">
        <v>73600</v>
      </c>
      <c r="E14" s="146"/>
      <c r="F14" s="146"/>
    </row>
    <row r="15" spans="1:7" x14ac:dyDescent="0.25">
      <c r="A15" s="143" t="s">
        <v>352</v>
      </c>
      <c r="B15" s="144">
        <v>3268.36</v>
      </c>
      <c r="C15" s="144">
        <v>3268.36</v>
      </c>
      <c r="D15" s="148">
        <v>1</v>
      </c>
      <c r="E15" s="146"/>
      <c r="F15" s="146"/>
    </row>
    <row r="16" spans="1:7" x14ac:dyDescent="0.25">
      <c r="A16" s="143" t="s">
        <v>353</v>
      </c>
      <c r="B16" s="144">
        <v>26545</v>
      </c>
      <c r="C16" s="144">
        <v>26545</v>
      </c>
      <c r="D16" s="145">
        <v>14845</v>
      </c>
      <c r="E16" s="146"/>
      <c r="F16" s="146"/>
    </row>
    <row r="17" spans="1:7" ht="22.5" x14ac:dyDescent="0.25">
      <c r="A17" s="143" t="s">
        <v>354</v>
      </c>
      <c r="B17" s="144">
        <v>170000</v>
      </c>
      <c r="C17" s="144">
        <v>170000</v>
      </c>
      <c r="D17" s="148">
        <v>1</v>
      </c>
      <c r="E17" s="146"/>
      <c r="F17" s="146"/>
    </row>
    <row r="18" spans="1:7" x14ac:dyDescent="0.25">
      <c r="A18" s="143" t="s">
        <v>326</v>
      </c>
      <c r="B18" s="144">
        <v>221380.32</v>
      </c>
      <c r="C18" s="144">
        <v>221380.32</v>
      </c>
      <c r="D18" s="148">
        <v>234</v>
      </c>
      <c r="E18" s="146"/>
      <c r="F18" s="146"/>
    </row>
    <row r="19" spans="1:7" x14ac:dyDescent="0.25">
      <c r="A19" s="143" t="s">
        <v>355</v>
      </c>
      <c r="B19" s="144">
        <v>680000</v>
      </c>
      <c r="C19" s="144">
        <v>680000</v>
      </c>
      <c r="D19" s="145">
        <v>4000</v>
      </c>
      <c r="E19" s="146"/>
      <c r="F19" s="146"/>
    </row>
    <row r="20" spans="1:7" x14ac:dyDescent="0.25">
      <c r="A20" s="143" t="s">
        <v>356</v>
      </c>
      <c r="B20" s="144">
        <v>1850</v>
      </c>
      <c r="C20" s="144">
        <v>1850</v>
      </c>
      <c r="D20" s="148">
        <v>1</v>
      </c>
      <c r="E20" s="146"/>
      <c r="F20" s="146"/>
    </row>
    <row r="21" spans="1:7" x14ac:dyDescent="0.25">
      <c r="A21" s="143" t="s">
        <v>327</v>
      </c>
      <c r="B21" s="144">
        <v>26620000</v>
      </c>
      <c r="C21" s="144">
        <v>26620000</v>
      </c>
      <c r="D21" s="148">
        <v>6</v>
      </c>
      <c r="E21" s="146"/>
      <c r="F21" s="146"/>
    </row>
    <row r="22" spans="1:7" x14ac:dyDescent="0.25">
      <c r="A22" s="143" t="s">
        <v>258</v>
      </c>
      <c r="B22" s="144">
        <v>195055.3</v>
      </c>
      <c r="C22" s="144">
        <v>195055.3</v>
      </c>
      <c r="D22" s="148">
        <v>603.4</v>
      </c>
      <c r="E22" s="146"/>
      <c r="F22" s="146"/>
      <c r="G22">
        <v>1</v>
      </c>
    </row>
    <row r="23" spans="1:7" x14ac:dyDescent="0.25">
      <c r="A23" s="143" t="s">
        <v>341</v>
      </c>
      <c r="B23" s="144">
        <v>2681514.5</v>
      </c>
      <c r="C23" s="144">
        <v>2655473.92</v>
      </c>
      <c r="D23" s="145">
        <v>7172.5</v>
      </c>
      <c r="E23" s="144">
        <v>-26040.58</v>
      </c>
      <c r="F23" s="147">
        <v>-0.98</v>
      </c>
      <c r="G23">
        <v>1</v>
      </c>
    </row>
    <row r="24" spans="1:7" x14ac:dyDescent="0.25">
      <c r="A24" s="143" t="s">
        <v>343</v>
      </c>
      <c r="B24" s="144">
        <v>67039561.600000001</v>
      </c>
      <c r="C24" s="144">
        <v>67039561.600000001</v>
      </c>
      <c r="D24" s="145">
        <v>167428.70000000001</v>
      </c>
      <c r="E24" s="146"/>
      <c r="F24" s="146"/>
      <c r="G24">
        <v>1</v>
      </c>
    </row>
    <row r="25" spans="1:7" x14ac:dyDescent="0.25">
      <c r="A25" s="143" t="s">
        <v>344</v>
      </c>
      <c r="B25" s="144">
        <v>449701</v>
      </c>
      <c r="C25" s="144">
        <v>449701</v>
      </c>
      <c r="D25" s="145">
        <v>1174</v>
      </c>
      <c r="E25" s="146"/>
      <c r="F25" s="146"/>
      <c r="G25">
        <v>1</v>
      </c>
    </row>
    <row r="26" spans="1:7" x14ac:dyDescent="0.25">
      <c r="A26" s="143" t="s">
        <v>310</v>
      </c>
      <c r="B26" s="144">
        <v>166782934.40000001</v>
      </c>
      <c r="C26" s="144">
        <v>166782934.40000001</v>
      </c>
      <c r="D26" s="145">
        <v>379901.5</v>
      </c>
      <c r="E26" s="146"/>
      <c r="F26" s="146"/>
      <c r="G26">
        <v>1</v>
      </c>
    </row>
    <row r="27" spans="1:7" x14ac:dyDescent="0.25">
      <c r="A27" s="143" t="s">
        <v>311</v>
      </c>
      <c r="B27" s="144">
        <v>3621416.8</v>
      </c>
      <c r="C27" s="144">
        <v>3621416.8</v>
      </c>
      <c r="D27" s="145">
        <v>7435.4</v>
      </c>
      <c r="E27" s="146"/>
      <c r="F27" s="146"/>
      <c r="G27">
        <v>1</v>
      </c>
    </row>
    <row r="28" spans="1:7" x14ac:dyDescent="0.25">
      <c r="A28" s="143" t="s">
        <v>328</v>
      </c>
      <c r="B28" s="144">
        <v>611006.52</v>
      </c>
      <c r="C28" s="144">
        <v>611006.52</v>
      </c>
      <c r="D28" s="145">
        <v>1741.41</v>
      </c>
      <c r="E28" s="146"/>
      <c r="F28" s="146"/>
      <c r="G28">
        <v>1</v>
      </c>
    </row>
    <row r="29" spans="1:7" x14ac:dyDescent="0.25">
      <c r="A29" s="143" t="s">
        <v>357</v>
      </c>
      <c r="B29" s="144">
        <v>5000</v>
      </c>
      <c r="C29" s="144">
        <v>5000</v>
      </c>
      <c r="D29" s="148">
        <v>20</v>
      </c>
      <c r="E29" s="146"/>
      <c r="F29" s="146"/>
      <c r="G29">
        <v>1</v>
      </c>
    </row>
    <row r="30" spans="1:7" x14ac:dyDescent="0.25">
      <c r="A30" s="143" t="s">
        <v>358</v>
      </c>
      <c r="B30" s="144">
        <v>3161</v>
      </c>
      <c r="C30" s="144">
        <v>3161</v>
      </c>
      <c r="D30" s="148">
        <v>10.9</v>
      </c>
      <c r="E30" s="146"/>
      <c r="F30" s="146"/>
      <c r="G30">
        <v>1</v>
      </c>
    </row>
    <row r="31" spans="1:7" x14ac:dyDescent="0.25">
      <c r="A31" s="143" t="s">
        <v>346</v>
      </c>
      <c r="B31" s="144">
        <v>3136474.26</v>
      </c>
      <c r="C31" s="144">
        <v>3136474.26</v>
      </c>
      <c r="D31" s="145">
        <v>8024.78</v>
      </c>
      <c r="E31" s="146"/>
      <c r="F31" s="146"/>
      <c r="G31">
        <v>1</v>
      </c>
    </row>
    <row r="32" spans="1:7" x14ac:dyDescent="0.25">
      <c r="A32" s="143" t="s">
        <v>348</v>
      </c>
      <c r="B32" s="144">
        <v>23966702.32</v>
      </c>
      <c r="C32" s="144">
        <v>23966702.32</v>
      </c>
      <c r="D32" s="145">
        <v>62243.34</v>
      </c>
      <c r="E32" s="146"/>
      <c r="F32" s="146"/>
      <c r="G32">
        <v>1</v>
      </c>
    </row>
    <row r="33" spans="1:7" x14ac:dyDescent="0.25">
      <c r="A33" s="143" t="s">
        <v>359</v>
      </c>
      <c r="B33" s="144">
        <v>118115.7</v>
      </c>
      <c r="C33" s="144">
        <v>118115.7</v>
      </c>
      <c r="D33" s="148">
        <v>292.27</v>
      </c>
      <c r="E33" s="146"/>
      <c r="F33" s="146"/>
      <c r="G33">
        <v>1</v>
      </c>
    </row>
    <row r="34" spans="1:7" x14ac:dyDescent="0.25">
      <c r="A34" s="143" t="s">
        <v>349</v>
      </c>
      <c r="B34" s="144">
        <v>10394944.039999999</v>
      </c>
      <c r="C34" s="144">
        <v>10394944.039999999</v>
      </c>
      <c r="D34" s="145">
        <v>22397.51</v>
      </c>
      <c r="E34" s="146"/>
      <c r="F34" s="146"/>
      <c r="G34">
        <v>1</v>
      </c>
    </row>
    <row r="35" spans="1:7" x14ac:dyDescent="0.25">
      <c r="A35" s="143" t="s">
        <v>350</v>
      </c>
      <c r="B35" s="144">
        <v>762363.84</v>
      </c>
      <c r="C35" s="144">
        <v>762363.84</v>
      </c>
      <c r="D35" s="145">
        <v>1549.52</v>
      </c>
      <c r="E35" s="146"/>
      <c r="F35" s="146"/>
      <c r="G35">
        <v>1</v>
      </c>
    </row>
    <row r="36" spans="1:7" x14ac:dyDescent="0.25">
      <c r="A36" s="143" t="s">
        <v>330</v>
      </c>
      <c r="B36" s="144">
        <v>558733.54</v>
      </c>
      <c r="C36" s="144">
        <v>558733.54</v>
      </c>
      <c r="D36" s="145">
        <v>1670.27</v>
      </c>
      <c r="E36" s="146"/>
      <c r="F36" s="146"/>
      <c r="G36">
        <v>1</v>
      </c>
    </row>
    <row r="37" spans="1:7" x14ac:dyDescent="0.25">
      <c r="A37" s="149"/>
      <c r="B37" s="149"/>
      <c r="C37" s="149"/>
      <c r="D37" s="149"/>
      <c r="E37" s="149"/>
      <c r="F37" s="149"/>
    </row>
    <row r="38" spans="1:7" x14ac:dyDescent="0.25">
      <c r="A38" s="141" t="s">
        <v>264</v>
      </c>
      <c r="B38" s="150">
        <v>442845705.19</v>
      </c>
      <c r="C38" s="150">
        <v>442841597.32999998</v>
      </c>
      <c r="D38" s="151">
        <v>791562.00300000003</v>
      </c>
      <c r="E38" s="150">
        <v>-4107.8599999999997</v>
      </c>
      <c r="F38" s="152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16"/>
  <sheetViews>
    <sheetView showGridLines="0" topLeftCell="A78" workbookViewId="0">
      <selection activeCell="P5" sqref="P5"/>
    </sheetView>
  </sheetViews>
  <sheetFormatPr defaultRowHeight="15" x14ac:dyDescent="0.25"/>
  <cols>
    <col min="1" max="1" width="62" customWidth="1"/>
    <col min="2" max="3" width="13.28515625" bestFit="1" customWidth="1"/>
    <col min="4" max="4" width="10.7109375" bestFit="1" customWidth="1"/>
    <col min="5" max="5" width="8.42578125" bestFit="1" customWidth="1"/>
    <col min="6" max="6" width="8.28515625" bestFit="1" customWidth="1"/>
  </cols>
  <sheetData>
    <row r="1" spans="1:7" ht="33.75" x14ac:dyDescent="0.25">
      <c r="A1" s="141" t="s">
        <v>220</v>
      </c>
      <c r="B1" s="142" t="s">
        <v>221</v>
      </c>
      <c r="C1" s="142" t="s">
        <v>222</v>
      </c>
      <c r="D1" s="142" t="s">
        <v>223</v>
      </c>
      <c r="E1" s="142" t="s">
        <v>224</v>
      </c>
      <c r="F1" s="142" t="s">
        <v>225</v>
      </c>
    </row>
    <row r="2" spans="1:7" x14ac:dyDescent="0.25">
      <c r="A2" s="143" t="s">
        <v>226</v>
      </c>
      <c r="B2" s="144">
        <v>7031599.0700000003</v>
      </c>
      <c r="C2" s="144">
        <v>7031598.9100000001</v>
      </c>
      <c r="D2" s="145">
        <v>2523.64</v>
      </c>
      <c r="E2" s="147">
        <v>-0.16</v>
      </c>
      <c r="F2" s="147">
        <v>0</v>
      </c>
    </row>
    <row r="3" spans="1:7" x14ac:dyDescent="0.25">
      <c r="A3" s="143" t="s">
        <v>227</v>
      </c>
      <c r="B3" s="144">
        <v>55764576.530000001</v>
      </c>
      <c r="C3" s="144">
        <v>55786507.109999999</v>
      </c>
      <c r="D3" s="145">
        <v>28654.06</v>
      </c>
      <c r="E3" s="144">
        <v>21930.58</v>
      </c>
      <c r="F3" s="147">
        <v>0.04</v>
      </c>
    </row>
    <row r="4" spans="1:7" x14ac:dyDescent="0.25">
      <c r="A4" s="143" t="s">
        <v>229</v>
      </c>
      <c r="B4" s="144">
        <v>2214.3200000000002</v>
      </c>
      <c r="C4" s="144">
        <v>2214.3200000000002</v>
      </c>
      <c r="D4" s="148">
        <v>11</v>
      </c>
      <c r="E4" s="146"/>
      <c r="F4" s="146"/>
    </row>
    <row r="5" spans="1:7" x14ac:dyDescent="0.25">
      <c r="A5" s="143" t="s">
        <v>230</v>
      </c>
      <c r="B5" s="144">
        <v>2134.14</v>
      </c>
      <c r="C5" s="144">
        <v>2134.14</v>
      </c>
      <c r="D5" s="148">
        <v>10</v>
      </c>
      <c r="E5" s="146"/>
      <c r="F5" s="146"/>
    </row>
    <row r="6" spans="1:7" x14ac:dyDescent="0.25">
      <c r="A6" s="143" t="s">
        <v>360</v>
      </c>
      <c r="B6" s="144">
        <v>1480</v>
      </c>
      <c r="C6" s="144">
        <v>1480</v>
      </c>
      <c r="D6" s="148">
        <v>1</v>
      </c>
      <c r="E6" s="146"/>
      <c r="F6" s="146"/>
    </row>
    <row r="7" spans="1:7" x14ac:dyDescent="0.25">
      <c r="A7" s="143" t="s">
        <v>361</v>
      </c>
      <c r="B7" s="144">
        <v>782999.97</v>
      </c>
      <c r="C7" s="144">
        <v>783000</v>
      </c>
      <c r="D7" s="148">
        <v>14.5</v>
      </c>
      <c r="E7" s="147">
        <v>0.03</v>
      </c>
      <c r="F7" s="147">
        <v>0</v>
      </c>
    </row>
    <row r="8" spans="1:7" x14ac:dyDescent="0.25">
      <c r="A8" s="143" t="s">
        <v>362</v>
      </c>
      <c r="B8" s="144">
        <v>1306799.95</v>
      </c>
      <c r="C8" s="144">
        <v>1306800</v>
      </c>
      <c r="D8" s="148">
        <v>24.2</v>
      </c>
      <c r="E8" s="147">
        <v>0.05</v>
      </c>
      <c r="F8" s="147">
        <v>0</v>
      </c>
    </row>
    <row r="9" spans="1:7" x14ac:dyDescent="0.25">
      <c r="A9" s="143" t="s">
        <v>363</v>
      </c>
      <c r="B9" s="144">
        <v>144549.99</v>
      </c>
      <c r="C9" s="144">
        <v>144550</v>
      </c>
      <c r="D9" s="148">
        <v>5.9</v>
      </c>
      <c r="E9" s="147">
        <v>0.01</v>
      </c>
      <c r="F9" s="147">
        <v>0</v>
      </c>
    </row>
    <row r="10" spans="1:7" x14ac:dyDescent="0.25">
      <c r="A10" s="143" t="s">
        <v>233</v>
      </c>
      <c r="B10" s="144">
        <v>50212025</v>
      </c>
      <c r="C10" s="144">
        <v>50212025</v>
      </c>
      <c r="D10" s="145">
        <v>19879.400000000001</v>
      </c>
      <c r="E10" s="146"/>
      <c r="F10" s="146"/>
      <c r="G10">
        <v>1</v>
      </c>
    </row>
    <row r="11" spans="1:7" x14ac:dyDescent="0.25">
      <c r="A11" s="143" t="s">
        <v>351</v>
      </c>
      <c r="B11" s="144">
        <v>27577400</v>
      </c>
      <c r="C11" s="144">
        <v>27577400</v>
      </c>
      <c r="D11" s="145">
        <v>11796</v>
      </c>
      <c r="E11" s="146"/>
      <c r="F11" s="146"/>
      <c r="G11">
        <v>1</v>
      </c>
    </row>
    <row r="12" spans="1:7" x14ac:dyDescent="0.25">
      <c r="A12" s="143" t="s">
        <v>332</v>
      </c>
      <c r="B12" s="144">
        <v>1942.5</v>
      </c>
      <c r="C12" s="144">
        <v>1942.5</v>
      </c>
      <c r="D12" s="148">
        <v>495</v>
      </c>
      <c r="E12" s="146"/>
      <c r="F12" s="146"/>
    </row>
    <row r="13" spans="1:7" x14ac:dyDescent="0.25">
      <c r="A13" s="143" t="s">
        <v>313</v>
      </c>
      <c r="B13" s="144">
        <v>58071750.68</v>
      </c>
      <c r="C13" s="144">
        <v>58071750.68</v>
      </c>
      <c r="D13" s="148">
        <v>11</v>
      </c>
      <c r="E13" s="146"/>
      <c r="F13" s="146"/>
    </row>
    <row r="14" spans="1:7" x14ac:dyDescent="0.25">
      <c r="A14" s="143" t="s">
        <v>364</v>
      </c>
      <c r="B14" s="147">
        <v>773.45</v>
      </c>
      <c r="C14" s="147">
        <v>773.45</v>
      </c>
      <c r="D14" s="148">
        <v>1</v>
      </c>
      <c r="E14" s="146"/>
      <c r="F14" s="146"/>
    </row>
    <row r="15" spans="1:7" x14ac:dyDescent="0.25">
      <c r="A15" s="143" t="s">
        <v>365</v>
      </c>
      <c r="B15" s="144">
        <v>30000</v>
      </c>
      <c r="C15" s="144">
        <v>30000</v>
      </c>
      <c r="D15" s="145">
        <v>1000</v>
      </c>
      <c r="E15" s="146"/>
      <c r="F15" s="146"/>
    </row>
    <row r="16" spans="1:7" x14ac:dyDescent="0.25">
      <c r="A16" s="143" t="s">
        <v>273</v>
      </c>
      <c r="B16" s="144">
        <v>10689</v>
      </c>
      <c r="C16" s="144">
        <v>10689</v>
      </c>
      <c r="D16" s="148">
        <v>21.49</v>
      </c>
      <c r="E16" s="146"/>
      <c r="F16" s="146"/>
      <c r="G16">
        <v>1</v>
      </c>
    </row>
    <row r="17" spans="1:7" x14ac:dyDescent="0.25">
      <c r="A17" s="143" t="s">
        <v>274</v>
      </c>
      <c r="B17" s="144">
        <v>7014301</v>
      </c>
      <c r="C17" s="144">
        <v>7014301</v>
      </c>
      <c r="D17" s="145">
        <v>20040.86</v>
      </c>
      <c r="E17" s="146"/>
      <c r="F17" s="146"/>
      <c r="G17">
        <v>1</v>
      </c>
    </row>
    <row r="18" spans="1:7" x14ac:dyDescent="0.25">
      <c r="A18" s="143" t="s">
        <v>275</v>
      </c>
      <c r="B18" s="144">
        <v>182865.95</v>
      </c>
      <c r="C18" s="144">
        <v>182865.95</v>
      </c>
      <c r="D18" s="148">
        <v>348.51</v>
      </c>
      <c r="E18" s="146"/>
      <c r="F18" s="146"/>
      <c r="G18">
        <v>1</v>
      </c>
    </row>
    <row r="19" spans="1:7" x14ac:dyDescent="0.25">
      <c r="A19" s="143" t="s">
        <v>236</v>
      </c>
      <c r="B19" s="144">
        <v>258116.5</v>
      </c>
      <c r="C19" s="144">
        <v>258116.5</v>
      </c>
      <c r="D19" s="148">
        <v>466.66</v>
      </c>
      <c r="E19" s="146"/>
      <c r="F19" s="146"/>
      <c r="G19">
        <v>1</v>
      </c>
    </row>
    <row r="20" spans="1:7" x14ac:dyDescent="0.25">
      <c r="A20" s="143" t="s">
        <v>237</v>
      </c>
      <c r="B20" s="144">
        <v>143290.70000000001</v>
      </c>
      <c r="C20" s="144">
        <v>143290.70000000001</v>
      </c>
      <c r="D20" s="148">
        <v>288.8</v>
      </c>
      <c r="E20" s="146"/>
      <c r="F20" s="146"/>
      <c r="G20">
        <v>1</v>
      </c>
    </row>
    <row r="21" spans="1:7" x14ac:dyDescent="0.25">
      <c r="A21" s="143" t="s">
        <v>276</v>
      </c>
      <c r="B21" s="144">
        <v>1176268.6499999999</v>
      </c>
      <c r="C21" s="144">
        <v>1176268.6499999999</v>
      </c>
      <c r="D21" s="145">
        <v>2131.52</v>
      </c>
      <c r="E21" s="146"/>
      <c r="F21" s="146"/>
      <c r="G21">
        <v>1</v>
      </c>
    </row>
    <row r="22" spans="1:7" x14ac:dyDescent="0.25">
      <c r="A22" s="143" t="s">
        <v>277</v>
      </c>
      <c r="B22" s="144">
        <v>234997.8</v>
      </c>
      <c r="C22" s="144">
        <v>234997.8</v>
      </c>
      <c r="D22" s="148">
        <v>460.78</v>
      </c>
      <c r="E22" s="146"/>
      <c r="F22" s="146"/>
      <c r="G22">
        <v>1</v>
      </c>
    </row>
    <row r="23" spans="1:7" x14ac:dyDescent="0.25">
      <c r="A23" s="143" t="s">
        <v>278</v>
      </c>
      <c r="B23" s="144">
        <v>4254825.82</v>
      </c>
      <c r="C23" s="144">
        <v>4254825.82</v>
      </c>
      <c r="D23" s="145">
        <v>7218.52</v>
      </c>
      <c r="E23" s="146"/>
      <c r="F23" s="146"/>
      <c r="G23">
        <v>1</v>
      </c>
    </row>
    <row r="24" spans="1:7" x14ac:dyDescent="0.25">
      <c r="A24" s="143" t="s">
        <v>279</v>
      </c>
      <c r="B24" s="144">
        <v>44420</v>
      </c>
      <c r="C24" s="144">
        <v>44420</v>
      </c>
      <c r="D24" s="148">
        <v>88.84</v>
      </c>
      <c r="E24" s="146"/>
      <c r="F24" s="146"/>
      <c r="G24">
        <v>1</v>
      </c>
    </row>
    <row r="25" spans="1:7" x14ac:dyDescent="0.25">
      <c r="A25" s="143" t="s">
        <v>280</v>
      </c>
      <c r="B25" s="144">
        <v>7877885.5099999998</v>
      </c>
      <c r="C25" s="144">
        <v>7877885.5099999998</v>
      </c>
      <c r="D25" s="145">
        <v>14021.97</v>
      </c>
      <c r="E25" s="146"/>
      <c r="F25" s="146"/>
      <c r="G25">
        <v>1</v>
      </c>
    </row>
    <row r="26" spans="1:7" x14ac:dyDescent="0.25">
      <c r="A26" s="143" t="s">
        <v>281</v>
      </c>
      <c r="B26" s="144">
        <v>458281</v>
      </c>
      <c r="C26" s="144">
        <v>458281</v>
      </c>
      <c r="D26" s="148">
        <v>856.6</v>
      </c>
      <c r="E26" s="146"/>
      <c r="F26" s="146"/>
      <c r="G26">
        <v>1</v>
      </c>
    </row>
    <row r="27" spans="1:7" x14ac:dyDescent="0.25">
      <c r="A27" s="143" t="s">
        <v>282</v>
      </c>
      <c r="B27" s="144">
        <v>66463858.439999998</v>
      </c>
      <c r="C27" s="144">
        <v>66463858.439999998</v>
      </c>
      <c r="D27" s="145">
        <v>109721.98</v>
      </c>
      <c r="E27" s="146"/>
      <c r="F27" s="146"/>
      <c r="G27">
        <v>1</v>
      </c>
    </row>
    <row r="28" spans="1:7" x14ac:dyDescent="0.25">
      <c r="A28" s="143" t="s">
        <v>283</v>
      </c>
      <c r="B28" s="144">
        <v>259190.85</v>
      </c>
      <c r="C28" s="144">
        <v>259190.85</v>
      </c>
      <c r="D28" s="148">
        <v>495.21</v>
      </c>
      <c r="E28" s="146"/>
      <c r="F28" s="146"/>
      <c r="G28">
        <v>1</v>
      </c>
    </row>
    <row r="29" spans="1:7" x14ac:dyDescent="0.25">
      <c r="A29" s="143" t="s">
        <v>284</v>
      </c>
      <c r="B29" s="144">
        <v>30095343.539999999</v>
      </c>
      <c r="C29" s="144">
        <v>30095343.539999999</v>
      </c>
      <c r="D29" s="145">
        <v>52447.39</v>
      </c>
      <c r="E29" s="146"/>
      <c r="F29" s="146"/>
      <c r="G29">
        <v>1</v>
      </c>
    </row>
    <row r="30" spans="1:7" x14ac:dyDescent="0.25">
      <c r="A30" s="143" t="s">
        <v>315</v>
      </c>
      <c r="B30" s="144">
        <v>753996.6</v>
      </c>
      <c r="C30" s="144">
        <v>753996.6</v>
      </c>
      <c r="D30" s="145">
        <v>1383.48</v>
      </c>
      <c r="E30" s="146"/>
      <c r="F30" s="146"/>
      <c r="G30">
        <v>1</v>
      </c>
    </row>
    <row r="31" spans="1:7" x14ac:dyDescent="0.25">
      <c r="A31" s="143" t="s">
        <v>285</v>
      </c>
      <c r="B31" s="144">
        <v>363269680.24000001</v>
      </c>
      <c r="C31" s="144">
        <v>363254632.74000001</v>
      </c>
      <c r="D31" s="145">
        <v>592538.38</v>
      </c>
      <c r="E31" s="144">
        <v>-15047.5</v>
      </c>
      <c r="F31" s="147">
        <v>0</v>
      </c>
      <c r="G31">
        <v>1</v>
      </c>
    </row>
    <row r="32" spans="1:7" x14ac:dyDescent="0.25">
      <c r="A32" s="143" t="s">
        <v>286</v>
      </c>
      <c r="B32" s="144">
        <v>7860825.25</v>
      </c>
      <c r="C32" s="144">
        <v>7860825.25</v>
      </c>
      <c r="D32" s="145">
        <v>14345.03</v>
      </c>
      <c r="E32" s="146"/>
      <c r="F32" s="146"/>
      <c r="G32">
        <v>1</v>
      </c>
    </row>
    <row r="33" spans="1:7" x14ac:dyDescent="0.25">
      <c r="A33" s="143" t="s">
        <v>287</v>
      </c>
      <c r="B33" s="144">
        <v>35809835.210000001</v>
      </c>
      <c r="C33" s="144">
        <v>35809835.210000001</v>
      </c>
      <c r="D33" s="145">
        <v>60345.16</v>
      </c>
      <c r="E33" s="146"/>
      <c r="F33" s="146"/>
      <c r="G33">
        <v>1</v>
      </c>
    </row>
    <row r="34" spans="1:7" x14ac:dyDescent="0.25">
      <c r="A34" s="143" t="s">
        <v>316</v>
      </c>
      <c r="B34" s="144">
        <v>86492.2</v>
      </c>
      <c r="C34" s="144">
        <v>86492.2</v>
      </c>
      <c r="D34" s="148">
        <v>156.69999999999999</v>
      </c>
      <c r="E34" s="146"/>
      <c r="F34" s="146"/>
      <c r="G34">
        <v>1</v>
      </c>
    </row>
    <row r="35" spans="1:7" x14ac:dyDescent="0.25">
      <c r="A35" s="143" t="s">
        <v>288</v>
      </c>
      <c r="B35" s="144">
        <v>414815992.06</v>
      </c>
      <c r="C35" s="144">
        <v>414815992.06</v>
      </c>
      <c r="D35" s="145">
        <v>666786.65</v>
      </c>
      <c r="E35" s="146"/>
      <c r="F35" s="146"/>
      <c r="G35">
        <v>1</v>
      </c>
    </row>
    <row r="36" spans="1:7" x14ac:dyDescent="0.25">
      <c r="A36" s="143" t="s">
        <v>289</v>
      </c>
      <c r="B36" s="144">
        <v>10676747.1</v>
      </c>
      <c r="C36" s="144">
        <v>10676747.1</v>
      </c>
      <c r="D36" s="145">
        <v>19387.79</v>
      </c>
      <c r="E36" s="146"/>
      <c r="F36" s="146"/>
      <c r="G36">
        <v>1</v>
      </c>
    </row>
    <row r="37" spans="1:7" x14ac:dyDescent="0.25">
      <c r="A37" s="143" t="s">
        <v>290</v>
      </c>
      <c r="B37" s="144">
        <v>4450841.04</v>
      </c>
      <c r="C37" s="144">
        <v>4450841.04</v>
      </c>
      <c r="D37" s="145">
        <v>7604.17</v>
      </c>
      <c r="E37" s="146"/>
      <c r="F37" s="146"/>
      <c r="G37">
        <v>1</v>
      </c>
    </row>
    <row r="38" spans="1:7" x14ac:dyDescent="0.25">
      <c r="A38" s="143" t="s">
        <v>334</v>
      </c>
      <c r="B38" s="144">
        <v>154533.15</v>
      </c>
      <c r="C38" s="144">
        <v>154533.15</v>
      </c>
      <c r="D38" s="148">
        <v>273.51</v>
      </c>
      <c r="E38" s="146"/>
      <c r="F38" s="146"/>
      <c r="G38">
        <v>1</v>
      </c>
    </row>
    <row r="39" spans="1:7" x14ac:dyDescent="0.25">
      <c r="A39" s="143" t="s">
        <v>291</v>
      </c>
      <c r="B39" s="144">
        <v>97577549.75</v>
      </c>
      <c r="C39" s="144">
        <v>97577549.75</v>
      </c>
      <c r="D39" s="145">
        <v>156018.76999999999</v>
      </c>
      <c r="E39" s="146"/>
      <c r="F39" s="146"/>
      <c r="G39">
        <v>1</v>
      </c>
    </row>
    <row r="40" spans="1:7" x14ac:dyDescent="0.25">
      <c r="A40" s="143" t="s">
        <v>317</v>
      </c>
      <c r="B40" s="144">
        <v>540412.35</v>
      </c>
      <c r="C40" s="144">
        <v>540412.35</v>
      </c>
      <c r="D40" s="145">
        <v>1223.42</v>
      </c>
      <c r="E40" s="146"/>
      <c r="F40" s="146"/>
      <c r="G40">
        <v>1</v>
      </c>
    </row>
    <row r="41" spans="1:7" x14ac:dyDescent="0.25">
      <c r="A41" s="143" t="s">
        <v>292</v>
      </c>
      <c r="B41" s="144">
        <v>355540.66</v>
      </c>
      <c r="C41" s="144">
        <v>355540.66</v>
      </c>
      <c r="D41" s="148">
        <v>590.54</v>
      </c>
      <c r="E41" s="146"/>
      <c r="F41" s="146"/>
      <c r="G41">
        <v>1</v>
      </c>
    </row>
    <row r="42" spans="1:7" x14ac:dyDescent="0.25">
      <c r="A42" s="143" t="s">
        <v>293</v>
      </c>
      <c r="B42" s="144">
        <v>6237454.7400000002</v>
      </c>
      <c r="C42" s="144">
        <v>6237454.7400000002</v>
      </c>
      <c r="D42" s="145">
        <v>9870.4599999999991</v>
      </c>
      <c r="E42" s="146"/>
      <c r="F42" s="146"/>
      <c r="G42">
        <v>1</v>
      </c>
    </row>
    <row r="43" spans="1:7" x14ac:dyDescent="0.25">
      <c r="A43" s="143" t="s">
        <v>319</v>
      </c>
      <c r="B43" s="144">
        <v>10361.049999999999</v>
      </c>
      <c r="C43" s="144">
        <v>10361.049999999999</v>
      </c>
      <c r="D43" s="148">
        <v>16.91</v>
      </c>
      <c r="E43" s="146"/>
      <c r="F43" s="146"/>
      <c r="G43">
        <v>1</v>
      </c>
    </row>
    <row r="44" spans="1:7" x14ac:dyDescent="0.25">
      <c r="A44" s="143" t="s">
        <v>295</v>
      </c>
      <c r="B44" s="144">
        <v>79327.350000000006</v>
      </c>
      <c r="C44" s="144">
        <v>79327.350000000006</v>
      </c>
      <c r="D44" s="148">
        <v>124.87</v>
      </c>
      <c r="E44" s="146"/>
      <c r="F44" s="146"/>
      <c r="G44">
        <v>1</v>
      </c>
    </row>
    <row r="45" spans="1:7" x14ac:dyDescent="0.25">
      <c r="A45" s="143" t="s">
        <v>297</v>
      </c>
      <c r="B45" s="144">
        <v>3906</v>
      </c>
      <c r="C45" s="144">
        <v>3906</v>
      </c>
      <c r="D45" s="148">
        <v>7.44</v>
      </c>
      <c r="E45" s="146"/>
      <c r="F45" s="146"/>
      <c r="G45">
        <v>1</v>
      </c>
    </row>
    <row r="46" spans="1:7" ht="22.5" x14ac:dyDescent="0.25">
      <c r="A46" s="143" t="s">
        <v>366</v>
      </c>
      <c r="B46" s="144">
        <v>836470</v>
      </c>
      <c r="C46" s="144">
        <v>836470</v>
      </c>
      <c r="D46" s="145">
        <v>4182.3500000000004</v>
      </c>
      <c r="E46" s="146"/>
      <c r="F46" s="146"/>
      <c r="G46">
        <v>1</v>
      </c>
    </row>
    <row r="47" spans="1:7" x14ac:dyDescent="0.25">
      <c r="A47" s="143" t="s">
        <v>367</v>
      </c>
      <c r="B47" s="144">
        <v>10000</v>
      </c>
      <c r="C47" s="144">
        <v>10000</v>
      </c>
      <c r="D47" s="148">
        <v>100</v>
      </c>
      <c r="E47" s="146"/>
      <c r="F47" s="146"/>
    </row>
    <row r="48" spans="1:7" x14ac:dyDescent="0.25">
      <c r="A48" s="143" t="s">
        <v>368</v>
      </c>
      <c r="B48" s="144">
        <v>14234</v>
      </c>
      <c r="C48" s="144">
        <v>14234</v>
      </c>
      <c r="D48" s="148">
        <v>71.17</v>
      </c>
      <c r="E48" s="146"/>
      <c r="F48" s="146"/>
    </row>
    <row r="49" spans="1:6" x14ac:dyDescent="0.25">
      <c r="A49" s="143" t="s">
        <v>369</v>
      </c>
      <c r="B49" s="144">
        <v>10320</v>
      </c>
      <c r="C49" s="144">
        <v>10320</v>
      </c>
      <c r="D49" s="148">
        <v>86</v>
      </c>
      <c r="E49" s="146"/>
      <c r="F49" s="146"/>
    </row>
    <row r="50" spans="1:6" x14ac:dyDescent="0.25">
      <c r="A50" s="143" t="s">
        <v>337</v>
      </c>
      <c r="B50" s="144">
        <v>12814</v>
      </c>
      <c r="C50" s="144">
        <v>12814</v>
      </c>
      <c r="D50" s="145">
        <v>1458</v>
      </c>
      <c r="E50" s="146"/>
      <c r="F50" s="146"/>
    </row>
    <row r="51" spans="1:6" x14ac:dyDescent="0.25">
      <c r="A51" s="143" t="s">
        <v>338</v>
      </c>
      <c r="B51" s="144">
        <v>7690</v>
      </c>
      <c r="C51" s="144">
        <v>7690</v>
      </c>
      <c r="D51" s="148">
        <v>850</v>
      </c>
      <c r="E51" s="146"/>
      <c r="F51" s="146"/>
    </row>
    <row r="52" spans="1:6" x14ac:dyDescent="0.25">
      <c r="A52" s="143" t="s">
        <v>339</v>
      </c>
      <c r="B52" s="144">
        <v>1540</v>
      </c>
      <c r="C52" s="144">
        <v>1540</v>
      </c>
      <c r="D52" s="148">
        <v>110</v>
      </c>
      <c r="E52" s="146"/>
      <c r="F52" s="146"/>
    </row>
    <row r="53" spans="1:6" x14ac:dyDescent="0.25">
      <c r="A53" s="143" t="s">
        <v>339</v>
      </c>
      <c r="B53" s="144">
        <v>5800</v>
      </c>
      <c r="C53" s="144">
        <v>5800</v>
      </c>
      <c r="D53" s="148">
        <v>500</v>
      </c>
      <c r="E53" s="146"/>
      <c r="F53" s="146"/>
    </row>
    <row r="54" spans="1:6" x14ac:dyDescent="0.25">
      <c r="A54" s="143" t="s">
        <v>303</v>
      </c>
      <c r="B54" s="144">
        <v>43866934.130000003</v>
      </c>
      <c r="C54" s="144">
        <v>43866934.130000003</v>
      </c>
      <c r="D54" s="148">
        <v>8</v>
      </c>
      <c r="E54" s="146"/>
      <c r="F54" s="146"/>
    </row>
    <row r="55" spans="1:6" x14ac:dyDescent="0.25">
      <c r="A55" s="143" t="s">
        <v>252</v>
      </c>
      <c r="B55" s="144">
        <v>21251280</v>
      </c>
      <c r="C55" s="144">
        <v>21251280</v>
      </c>
      <c r="D55" s="145">
        <v>260811</v>
      </c>
      <c r="E55" s="146"/>
      <c r="F55" s="146"/>
    </row>
    <row r="56" spans="1:6" x14ac:dyDescent="0.25">
      <c r="A56" s="143" t="s">
        <v>352</v>
      </c>
      <c r="B56" s="144">
        <v>3268.36</v>
      </c>
      <c r="C56" s="144">
        <v>3268.36</v>
      </c>
      <c r="D56" s="148">
        <v>1</v>
      </c>
      <c r="E56" s="146"/>
      <c r="F56" s="146"/>
    </row>
    <row r="57" spans="1:6" x14ac:dyDescent="0.25">
      <c r="A57" s="143" t="s">
        <v>370</v>
      </c>
      <c r="B57" s="147">
        <v>376.36</v>
      </c>
      <c r="C57" s="147">
        <v>376.36</v>
      </c>
      <c r="D57" s="148">
        <v>1</v>
      </c>
      <c r="E57" s="146"/>
      <c r="F57" s="146"/>
    </row>
    <row r="58" spans="1:6" x14ac:dyDescent="0.25">
      <c r="A58" s="143" t="s">
        <v>353</v>
      </c>
      <c r="B58" s="144">
        <v>26545</v>
      </c>
      <c r="C58" s="144">
        <v>26545</v>
      </c>
      <c r="D58" s="145">
        <v>14845</v>
      </c>
      <c r="E58" s="146"/>
      <c r="F58" s="146"/>
    </row>
    <row r="59" spans="1:6" ht="22.5" x14ac:dyDescent="0.25">
      <c r="A59" s="143" t="s">
        <v>354</v>
      </c>
      <c r="B59" s="144">
        <v>170000</v>
      </c>
      <c r="C59" s="144">
        <v>170000</v>
      </c>
      <c r="D59" s="148">
        <v>1</v>
      </c>
      <c r="E59" s="146"/>
      <c r="F59" s="146"/>
    </row>
    <row r="60" spans="1:6" x14ac:dyDescent="0.25">
      <c r="A60" s="143" t="s">
        <v>371</v>
      </c>
      <c r="B60" s="144">
        <v>2199.17</v>
      </c>
      <c r="C60" s="144">
        <v>2199.17</v>
      </c>
      <c r="D60" s="148">
        <v>2</v>
      </c>
      <c r="E60" s="146"/>
      <c r="F60" s="146"/>
    </row>
    <row r="61" spans="1:6" x14ac:dyDescent="0.25">
      <c r="A61" s="143" t="s">
        <v>372</v>
      </c>
      <c r="B61" s="144">
        <v>4626</v>
      </c>
      <c r="C61" s="144">
        <v>4626</v>
      </c>
      <c r="D61" s="148">
        <v>23.13</v>
      </c>
      <c r="E61" s="146"/>
      <c r="F61" s="146"/>
    </row>
    <row r="62" spans="1:6" x14ac:dyDescent="0.25">
      <c r="A62" s="143" t="s">
        <v>326</v>
      </c>
      <c r="B62" s="144">
        <v>494085.36</v>
      </c>
      <c r="C62" s="144">
        <v>494085.36</v>
      </c>
      <c r="D62" s="148">
        <v>493</v>
      </c>
      <c r="E62" s="146"/>
      <c r="F62" s="146"/>
    </row>
    <row r="63" spans="1:6" x14ac:dyDescent="0.25">
      <c r="A63" s="143" t="s">
        <v>355</v>
      </c>
      <c r="B63" s="144">
        <v>680000</v>
      </c>
      <c r="C63" s="144">
        <v>680000</v>
      </c>
      <c r="D63" s="145">
        <v>4000</v>
      </c>
      <c r="E63" s="146"/>
      <c r="F63" s="146"/>
    </row>
    <row r="64" spans="1:6" ht="22.5" x14ac:dyDescent="0.25">
      <c r="A64" s="143" t="s">
        <v>373</v>
      </c>
      <c r="B64" s="144">
        <v>130000</v>
      </c>
      <c r="C64" s="144">
        <v>130000</v>
      </c>
      <c r="D64" s="148">
        <v>1</v>
      </c>
      <c r="E64" s="146"/>
      <c r="F64" s="146"/>
    </row>
    <row r="65" spans="1:7" x14ac:dyDescent="0.25">
      <c r="A65" s="143" t="s">
        <v>356</v>
      </c>
      <c r="B65" s="144">
        <v>1850</v>
      </c>
      <c r="C65" s="144">
        <v>1850</v>
      </c>
      <c r="D65" s="148">
        <v>1</v>
      </c>
      <c r="E65" s="146"/>
      <c r="F65" s="146"/>
    </row>
    <row r="66" spans="1:7" x14ac:dyDescent="0.25">
      <c r="A66" s="143" t="s">
        <v>374</v>
      </c>
      <c r="B66" s="144">
        <v>165660.85</v>
      </c>
      <c r="C66" s="144">
        <v>165660.85</v>
      </c>
      <c r="D66" s="148">
        <v>181.84200000000001</v>
      </c>
      <c r="E66" s="146"/>
      <c r="F66" s="146"/>
      <c r="G66">
        <v>1</v>
      </c>
    </row>
    <row r="67" spans="1:7" x14ac:dyDescent="0.25">
      <c r="A67" s="143" t="s">
        <v>375</v>
      </c>
      <c r="B67" s="144">
        <v>51605</v>
      </c>
      <c r="C67" s="144">
        <v>51605</v>
      </c>
      <c r="D67" s="148">
        <v>56.604999999999997</v>
      </c>
      <c r="E67" s="146"/>
      <c r="F67" s="146"/>
      <c r="G67">
        <v>1</v>
      </c>
    </row>
    <row r="68" spans="1:7" x14ac:dyDescent="0.25">
      <c r="A68" s="143" t="s">
        <v>327</v>
      </c>
      <c r="B68" s="144">
        <v>59873813.079999998</v>
      </c>
      <c r="C68" s="144">
        <v>59873813.079999998</v>
      </c>
      <c r="D68" s="148">
        <v>12</v>
      </c>
      <c r="E68" s="146"/>
      <c r="F68" s="146"/>
    </row>
    <row r="69" spans="1:7" x14ac:dyDescent="0.25">
      <c r="A69" s="143" t="s">
        <v>376</v>
      </c>
      <c r="B69" s="144">
        <v>118965.32</v>
      </c>
      <c r="C69" s="144">
        <v>118965.32</v>
      </c>
      <c r="D69" s="148">
        <v>344.827</v>
      </c>
      <c r="E69" s="146"/>
      <c r="F69" s="146"/>
      <c r="G69">
        <v>1</v>
      </c>
    </row>
    <row r="70" spans="1:7" x14ac:dyDescent="0.25">
      <c r="A70" s="143" t="s">
        <v>377</v>
      </c>
      <c r="B70" s="144">
        <v>16477899</v>
      </c>
      <c r="C70" s="144">
        <v>16477899</v>
      </c>
      <c r="D70" s="145">
        <v>54926.33</v>
      </c>
      <c r="E70" s="146"/>
      <c r="F70" s="146"/>
      <c r="G70">
        <v>1</v>
      </c>
    </row>
    <row r="71" spans="1:7" x14ac:dyDescent="0.25">
      <c r="A71" s="143" t="s">
        <v>378</v>
      </c>
      <c r="B71" s="144">
        <v>596287.80000000005</v>
      </c>
      <c r="C71" s="144">
        <v>596287.80000000005</v>
      </c>
      <c r="D71" s="145">
        <v>1365.49</v>
      </c>
      <c r="E71" s="146"/>
      <c r="F71" s="146"/>
      <c r="G71">
        <v>1</v>
      </c>
    </row>
    <row r="72" spans="1:7" x14ac:dyDescent="0.25">
      <c r="A72" s="143" t="s">
        <v>379</v>
      </c>
      <c r="B72" s="144">
        <v>2976633.3</v>
      </c>
      <c r="C72" s="144">
        <v>2976633.3</v>
      </c>
      <c r="D72" s="145">
        <v>7488.68</v>
      </c>
      <c r="E72" s="146"/>
      <c r="F72" s="146"/>
      <c r="G72">
        <v>1</v>
      </c>
    </row>
    <row r="73" spans="1:7" x14ac:dyDescent="0.25">
      <c r="A73" s="143" t="s">
        <v>380</v>
      </c>
      <c r="B73" s="144">
        <v>2124937</v>
      </c>
      <c r="C73" s="144">
        <v>2124937</v>
      </c>
      <c r="D73" s="145">
        <v>4662.3900000000003</v>
      </c>
      <c r="E73" s="146"/>
      <c r="F73" s="146"/>
      <c r="G73">
        <v>1</v>
      </c>
    </row>
    <row r="74" spans="1:7" x14ac:dyDescent="0.25">
      <c r="A74" s="143" t="s">
        <v>381</v>
      </c>
      <c r="B74" s="144">
        <v>10674942.609999999</v>
      </c>
      <c r="C74" s="144">
        <v>10674942.609999999</v>
      </c>
      <c r="D74" s="145">
        <v>24979.184000000001</v>
      </c>
      <c r="E74" s="146"/>
      <c r="F74" s="146"/>
      <c r="G74">
        <v>1</v>
      </c>
    </row>
    <row r="75" spans="1:7" x14ac:dyDescent="0.25">
      <c r="A75" s="143" t="s">
        <v>382</v>
      </c>
      <c r="B75" s="144">
        <v>15365397.83</v>
      </c>
      <c r="C75" s="144">
        <v>15365397.83</v>
      </c>
      <c r="D75" s="145">
        <v>31298.27</v>
      </c>
      <c r="E75" s="146"/>
      <c r="F75" s="146"/>
      <c r="G75">
        <v>1</v>
      </c>
    </row>
    <row r="76" spans="1:7" x14ac:dyDescent="0.25">
      <c r="A76" s="143" t="s">
        <v>383</v>
      </c>
      <c r="B76" s="144">
        <v>8220083.6699999999</v>
      </c>
      <c r="C76" s="144">
        <v>8220083.6699999999</v>
      </c>
      <c r="D76" s="145">
        <v>18423.315999999999</v>
      </c>
      <c r="E76" s="146"/>
      <c r="F76" s="146"/>
      <c r="G76">
        <v>1</v>
      </c>
    </row>
    <row r="77" spans="1:7" x14ac:dyDescent="0.25">
      <c r="A77" s="143" t="s">
        <v>384</v>
      </c>
      <c r="B77" s="144">
        <v>234921406.72999999</v>
      </c>
      <c r="C77" s="144">
        <v>234921406.72999999</v>
      </c>
      <c r="D77" s="145">
        <v>456873.36</v>
      </c>
      <c r="E77" s="146"/>
      <c r="F77" s="146"/>
      <c r="G77">
        <v>1</v>
      </c>
    </row>
    <row r="78" spans="1:7" x14ac:dyDescent="0.25">
      <c r="A78" s="143" t="s">
        <v>385</v>
      </c>
      <c r="B78" s="144">
        <v>14390548.9</v>
      </c>
      <c r="C78" s="144">
        <v>14390548.9</v>
      </c>
      <c r="D78" s="145">
        <v>30106.92</v>
      </c>
      <c r="E78" s="146"/>
      <c r="F78" s="146"/>
      <c r="G78">
        <v>1</v>
      </c>
    </row>
    <row r="79" spans="1:7" x14ac:dyDescent="0.25">
      <c r="A79" s="143" t="s">
        <v>386</v>
      </c>
      <c r="B79" s="144">
        <v>48321948</v>
      </c>
      <c r="C79" s="144">
        <v>48321948</v>
      </c>
      <c r="D79" s="145">
        <v>92204.11</v>
      </c>
      <c r="E79" s="146"/>
      <c r="F79" s="146"/>
      <c r="G79">
        <v>1</v>
      </c>
    </row>
    <row r="80" spans="1:7" x14ac:dyDescent="0.25">
      <c r="A80" s="143" t="s">
        <v>387</v>
      </c>
      <c r="B80" s="144">
        <v>14738183.75</v>
      </c>
      <c r="C80" s="144">
        <v>14738183.75</v>
      </c>
      <c r="D80" s="145">
        <v>30335.94</v>
      </c>
      <c r="E80" s="146"/>
      <c r="F80" s="146"/>
      <c r="G80">
        <v>1</v>
      </c>
    </row>
    <row r="81" spans="1:7" x14ac:dyDescent="0.25">
      <c r="A81" s="143" t="s">
        <v>388</v>
      </c>
      <c r="B81" s="144">
        <v>820957141.16999996</v>
      </c>
      <c r="C81" s="144">
        <v>820957141.16999996</v>
      </c>
      <c r="D81" s="145">
        <v>1489195.8</v>
      </c>
      <c r="E81" s="146"/>
      <c r="F81" s="146"/>
      <c r="G81">
        <v>1</v>
      </c>
    </row>
    <row r="82" spans="1:7" x14ac:dyDescent="0.25">
      <c r="A82" s="143" t="s">
        <v>389</v>
      </c>
      <c r="B82" s="144">
        <v>42701752.25</v>
      </c>
      <c r="C82" s="144">
        <v>42701752.25</v>
      </c>
      <c r="D82" s="145">
        <v>82893.119999999995</v>
      </c>
      <c r="E82" s="146"/>
      <c r="F82" s="146"/>
      <c r="G82">
        <v>1</v>
      </c>
    </row>
    <row r="83" spans="1:7" x14ac:dyDescent="0.25">
      <c r="A83" s="143" t="s">
        <v>390</v>
      </c>
      <c r="B83" s="144">
        <v>35907660.490000002</v>
      </c>
      <c r="C83" s="144">
        <v>35907660.490000002</v>
      </c>
      <c r="D83" s="145">
        <v>63985.88</v>
      </c>
      <c r="E83" s="146"/>
      <c r="F83" s="146"/>
      <c r="G83">
        <v>1</v>
      </c>
    </row>
    <row r="84" spans="1:7" x14ac:dyDescent="0.25">
      <c r="A84" s="143" t="s">
        <v>391</v>
      </c>
      <c r="B84" s="144">
        <v>707462.15</v>
      </c>
      <c r="C84" s="144">
        <v>707462.15</v>
      </c>
      <c r="D84" s="145">
        <v>1346.74</v>
      </c>
      <c r="E84" s="146"/>
      <c r="F84" s="146"/>
      <c r="G84">
        <v>1</v>
      </c>
    </row>
    <row r="85" spans="1:7" x14ac:dyDescent="0.25">
      <c r="A85" s="143" t="s">
        <v>392</v>
      </c>
      <c r="B85" s="144">
        <v>595290758.44000006</v>
      </c>
      <c r="C85" s="144">
        <v>595290758.41999996</v>
      </c>
      <c r="D85" s="145">
        <v>1016871.8</v>
      </c>
      <c r="E85" s="147">
        <v>-0.02</v>
      </c>
      <c r="F85" s="147">
        <v>0</v>
      </c>
      <c r="G85">
        <v>1</v>
      </c>
    </row>
    <row r="86" spans="1:7" x14ac:dyDescent="0.25">
      <c r="A86" s="143" t="s">
        <v>393</v>
      </c>
      <c r="B86" s="144">
        <v>10326538.800000001</v>
      </c>
      <c r="C86" s="144">
        <v>10326538.800000001</v>
      </c>
      <c r="D86" s="145">
        <v>18600.82</v>
      </c>
      <c r="E86" s="146"/>
      <c r="F86" s="146"/>
      <c r="G86">
        <v>1</v>
      </c>
    </row>
    <row r="87" spans="1:7" x14ac:dyDescent="0.25">
      <c r="A87" s="143" t="s">
        <v>394</v>
      </c>
      <c r="B87" s="144">
        <v>6216863.1500000004</v>
      </c>
      <c r="C87" s="144">
        <v>6216863.1500000004</v>
      </c>
      <c r="D87" s="145">
        <v>10561.7</v>
      </c>
      <c r="E87" s="146"/>
      <c r="F87" s="146"/>
      <c r="G87">
        <v>1</v>
      </c>
    </row>
    <row r="88" spans="1:7" x14ac:dyDescent="0.25">
      <c r="A88" s="143" t="s">
        <v>395</v>
      </c>
      <c r="B88" s="144">
        <v>488328.55</v>
      </c>
      <c r="C88" s="144">
        <v>488328.55</v>
      </c>
      <c r="D88" s="148">
        <v>892.99</v>
      </c>
      <c r="E88" s="146"/>
      <c r="F88" s="146"/>
      <c r="G88">
        <v>1</v>
      </c>
    </row>
    <row r="89" spans="1:7" x14ac:dyDescent="0.25">
      <c r="A89" s="143" t="s">
        <v>396</v>
      </c>
      <c r="B89" s="144">
        <v>112707511.41</v>
      </c>
      <c r="C89" s="144">
        <v>112707511.41</v>
      </c>
      <c r="D89" s="145">
        <v>183978.54</v>
      </c>
      <c r="E89" s="146"/>
      <c r="F89" s="146"/>
      <c r="G89">
        <v>1</v>
      </c>
    </row>
    <row r="90" spans="1:7" x14ac:dyDescent="0.25">
      <c r="A90" s="143" t="s">
        <v>397</v>
      </c>
      <c r="B90" s="144">
        <v>886546.7</v>
      </c>
      <c r="C90" s="144">
        <v>886546.7</v>
      </c>
      <c r="D90" s="145">
        <v>1532.17</v>
      </c>
      <c r="E90" s="146"/>
      <c r="F90" s="146"/>
      <c r="G90">
        <v>1</v>
      </c>
    </row>
    <row r="91" spans="1:7" x14ac:dyDescent="0.25">
      <c r="A91" s="143" t="s">
        <v>398</v>
      </c>
      <c r="B91" s="144">
        <v>85934</v>
      </c>
      <c r="C91" s="144">
        <v>85934</v>
      </c>
      <c r="D91" s="148">
        <v>143.72</v>
      </c>
      <c r="E91" s="146"/>
      <c r="F91" s="146"/>
      <c r="G91">
        <v>1</v>
      </c>
    </row>
    <row r="92" spans="1:7" x14ac:dyDescent="0.25">
      <c r="A92" s="143" t="s">
        <v>399</v>
      </c>
      <c r="B92" s="144">
        <v>6710054.8300000001</v>
      </c>
      <c r="C92" s="144">
        <v>6710054.8300000001</v>
      </c>
      <c r="D92" s="145">
        <v>10533.12</v>
      </c>
      <c r="E92" s="146"/>
      <c r="F92" s="146"/>
      <c r="G92">
        <v>1</v>
      </c>
    </row>
    <row r="93" spans="1:7" x14ac:dyDescent="0.25">
      <c r="A93" s="143" t="s">
        <v>400</v>
      </c>
      <c r="B93" s="144">
        <v>168885.12</v>
      </c>
      <c r="C93" s="144">
        <v>168885.12</v>
      </c>
      <c r="D93" s="148">
        <v>257.44</v>
      </c>
      <c r="E93" s="146"/>
      <c r="F93" s="146"/>
      <c r="G93">
        <v>1</v>
      </c>
    </row>
    <row r="94" spans="1:7" x14ac:dyDescent="0.25">
      <c r="A94" s="143" t="s">
        <v>401</v>
      </c>
      <c r="B94" s="144">
        <v>6393.6</v>
      </c>
      <c r="C94" s="144">
        <v>6393.6</v>
      </c>
      <c r="D94" s="148">
        <v>17.760000000000002</v>
      </c>
      <c r="E94" s="146"/>
      <c r="F94" s="146"/>
      <c r="G94">
        <v>1</v>
      </c>
    </row>
    <row r="95" spans="1:7" ht="22.5" x14ac:dyDescent="0.25">
      <c r="A95" s="143" t="s">
        <v>402</v>
      </c>
      <c r="B95" s="144">
        <v>1322584.5</v>
      </c>
      <c r="C95" s="144">
        <v>1322584.5</v>
      </c>
      <c r="D95" s="145">
        <v>8817.23</v>
      </c>
      <c r="E95" s="146"/>
      <c r="F95" s="146"/>
      <c r="G95">
        <v>1</v>
      </c>
    </row>
    <row r="96" spans="1:7" x14ac:dyDescent="0.25">
      <c r="A96" s="143" t="s">
        <v>258</v>
      </c>
      <c r="B96" s="144">
        <v>202023.95</v>
      </c>
      <c r="C96" s="144">
        <v>202023.95</v>
      </c>
      <c r="D96" s="148">
        <v>623.03</v>
      </c>
      <c r="E96" s="146"/>
      <c r="F96" s="146"/>
      <c r="G96">
        <v>1</v>
      </c>
    </row>
    <row r="97" spans="1:7" x14ac:dyDescent="0.25">
      <c r="A97" s="143" t="s">
        <v>341</v>
      </c>
      <c r="B97" s="144">
        <v>17812896.440000001</v>
      </c>
      <c r="C97" s="144">
        <v>17786855.859999999</v>
      </c>
      <c r="D97" s="145">
        <v>48990.89</v>
      </c>
      <c r="E97" s="144">
        <v>-26040.58</v>
      </c>
      <c r="F97" s="147">
        <v>-0.15</v>
      </c>
      <c r="G97">
        <v>1</v>
      </c>
    </row>
    <row r="98" spans="1:7" x14ac:dyDescent="0.25">
      <c r="A98" s="143" t="s">
        <v>342</v>
      </c>
      <c r="B98" s="144">
        <v>22676.16</v>
      </c>
      <c r="C98" s="144">
        <v>22676.16</v>
      </c>
      <c r="D98" s="148">
        <v>72.680000000000007</v>
      </c>
      <c r="E98" s="146"/>
      <c r="F98" s="146"/>
      <c r="G98">
        <v>1</v>
      </c>
    </row>
    <row r="99" spans="1:7" x14ac:dyDescent="0.25">
      <c r="A99" s="143" t="s">
        <v>343</v>
      </c>
      <c r="B99" s="144">
        <v>152536459.40000001</v>
      </c>
      <c r="C99" s="144">
        <v>152536459.40000001</v>
      </c>
      <c r="D99" s="145">
        <v>388440.09</v>
      </c>
      <c r="E99" s="146"/>
      <c r="F99" s="146"/>
      <c r="G99">
        <v>1</v>
      </c>
    </row>
    <row r="100" spans="1:7" x14ac:dyDescent="0.25">
      <c r="A100" s="143" t="s">
        <v>344</v>
      </c>
      <c r="B100" s="144">
        <v>551268.86</v>
      </c>
      <c r="C100" s="144">
        <v>551268.86</v>
      </c>
      <c r="D100" s="145">
        <v>1478.63</v>
      </c>
      <c r="E100" s="146"/>
      <c r="F100" s="146"/>
      <c r="G100">
        <v>1</v>
      </c>
    </row>
    <row r="101" spans="1:7" x14ac:dyDescent="0.25">
      <c r="A101" s="143" t="s">
        <v>310</v>
      </c>
      <c r="B101" s="144">
        <v>214427895.05000001</v>
      </c>
      <c r="C101" s="144">
        <v>214427895.05000001</v>
      </c>
      <c r="D101" s="145">
        <v>489181.08</v>
      </c>
      <c r="E101" s="146"/>
      <c r="F101" s="146"/>
      <c r="G101">
        <v>1</v>
      </c>
    </row>
    <row r="102" spans="1:7" x14ac:dyDescent="0.25">
      <c r="A102" s="143" t="s">
        <v>311</v>
      </c>
      <c r="B102" s="144">
        <v>12121158.5</v>
      </c>
      <c r="C102" s="144">
        <v>12121158.5</v>
      </c>
      <c r="D102" s="145">
        <v>25013.599999999999</v>
      </c>
      <c r="E102" s="146"/>
      <c r="F102" s="146"/>
      <c r="G102">
        <v>1</v>
      </c>
    </row>
    <row r="103" spans="1:7" x14ac:dyDescent="0.25">
      <c r="A103" s="143" t="s">
        <v>328</v>
      </c>
      <c r="B103" s="144">
        <v>779127.97</v>
      </c>
      <c r="C103" s="144">
        <v>779127.97</v>
      </c>
      <c r="D103" s="145">
        <v>2400.605</v>
      </c>
      <c r="E103" s="146"/>
      <c r="F103" s="146"/>
      <c r="G103">
        <v>1</v>
      </c>
    </row>
    <row r="104" spans="1:7" x14ac:dyDescent="0.25">
      <c r="A104" s="143" t="s">
        <v>357</v>
      </c>
      <c r="B104" s="144">
        <v>5000</v>
      </c>
      <c r="C104" s="144">
        <v>5000</v>
      </c>
      <c r="D104" s="148">
        <v>20</v>
      </c>
      <c r="E104" s="146"/>
      <c r="F104" s="146"/>
      <c r="G104">
        <v>1</v>
      </c>
    </row>
    <row r="105" spans="1:7" x14ac:dyDescent="0.25">
      <c r="A105" s="143" t="s">
        <v>358</v>
      </c>
      <c r="B105" s="144">
        <v>3161</v>
      </c>
      <c r="C105" s="144">
        <v>3161</v>
      </c>
      <c r="D105" s="148">
        <v>10.9</v>
      </c>
      <c r="E105" s="146"/>
      <c r="F105" s="146"/>
      <c r="G105">
        <v>1</v>
      </c>
    </row>
    <row r="106" spans="1:7" x14ac:dyDescent="0.25">
      <c r="A106" s="143" t="s">
        <v>346</v>
      </c>
      <c r="B106" s="144">
        <v>6410895.0199999996</v>
      </c>
      <c r="C106" s="144">
        <v>6410895.0199999996</v>
      </c>
      <c r="D106" s="145">
        <v>19365.36</v>
      </c>
      <c r="E106" s="146"/>
      <c r="F106" s="146"/>
      <c r="G106">
        <v>1</v>
      </c>
    </row>
    <row r="107" spans="1:7" x14ac:dyDescent="0.25">
      <c r="A107" s="143" t="s">
        <v>347</v>
      </c>
      <c r="B107" s="144">
        <v>321478.92</v>
      </c>
      <c r="C107" s="144">
        <v>321478.92</v>
      </c>
      <c r="D107" s="145">
        <v>1257.51</v>
      </c>
      <c r="E107" s="146"/>
      <c r="F107" s="146"/>
      <c r="G107">
        <v>1</v>
      </c>
    </row>
    <row r="108" spans="1:7" x14ac:dyDescent="0.25">
      <c r="A108" s="143" t="s">
        <v>348</v>
      </c>
      <c r="B108" s="144">
        <v>29238361.010000002</v>
      </c>
      <c r="C108" s="144">
        <v>29238361.010000002</v>
      </c>
      <c r="D108" s="145">
        <v>75972.88</v>
      </c>
      <c r="E108" s="146"/>
      <c r="F108" s="146"/>
      <c r="G108">
        <v>1</v>
      </c>
    </row>
    <row r="109" spans="1:7" x14ac:dyDescent="0.25">
      <c r="A109" s="143" t="s">
        <v>359</v>
      </c>
      <c r="B109" s="144">
        <v>118115.7</v>
      </c>
      <c r="C109" s="144">
        <v>118115.7</v>
      </c>
      <c r="D109" s="148">
        <v>292.27</v>
      </c>
      <c r="E109" s="146"/>
      <c r="F109" s="146"/>
      <c r="G109">
        <v>1</v>
      </c>
    </row>
    <row r="110" spans="1:7" x14ac:dyDescent="0.25">
      <c r="A110" s="143" t="s">
        <v>349</v>
      </c>
      <c r="B110" s="144">
        <v>11079332.99</v>
      </c>
      <c r="C110" s="144">
        <v>11079332.99</v>
      </c>
      <c r="D110" s="145">
        <v>24046.639999999999</v>
      </c>
      <c r="E110" s="146"/>
      <c r="F110" s="146"/>
      <c r="G110">
        <v>1</v>
      </c>
    </row>
    <row r="111" spans="1:7" x14ac:dyDescent="0.25">
      <c r="A111" s="143" t="s">
        <v>350</v>
      </c>
      <c r="B111" s="144">
        <v>762363.84</v>
      </c>
      <c r="C111" s="144">
        <v>762363.84</v>
      </c>
      <c r="D111" s="145">
        <v>1549.52</v>
      </c>
      <c r="E111" s="146"/>
      <c r="F111" s="146"/>
      <c r="G111">
        <v>1</v>
      </c>
    </row>
    <row r="112" spans="1:7" x14ac:dyDescent="0.25">
      <c r="A112" s="143" t="s">
        <v>330</v>
      </c>
      <c r="B112" s="144">
        <v>926584.24</v>
      </c>
      <c r="C112" s="144">
        <v>926584.24</v>
      </c>
      <c r="D112" s="145">
        <v>3088.38</v>
      </c>
      <c r="E112" s="146"/>
      <c r="F112" s="146"/>
      <c r="G112">
        <v>1</v>
      </c>
    </row>
    <row r="113" spans="1:6" x14ac:dyDescent="0.25">
      <c r="A113" s="143" t="s">
        <v>403</v>
      </c>
      <c r="B113" s="144">
        <v>297036</v>
      </c>
      <c r="C113" s="144">
        <v>297036</v>
      </c>
      <c r="D113" s="145">
        <v>16502</v>
      </c>
      <c r="E113" s="146"/>
      <c r="F113" s="146"/>
    </row>
    <row r="114" spans="1:6" x14ac:dyDescent="0.25">
      <c r="A114" s="143" t="s">
        <v>404</v>
      </c>
      <c r="B114" s="147">
        <v>72.45</v>
      </c>
      <c r="C114" s="147">
        <v>72.45</v>
      </c>
      <c r="D114" s="148">
        <v>1</v>
      </c>
      <c r="E114" s="146"/>
      <c r="F114" s="146"/>
    </row>
    <row r="115" spans="1:6" x14ac:dyDescent="0.25">
      <c r="A115" s="149"/>
      <c r="B115" s="149"/>
      <c r="C115" s="149"/>
      <c r="D115" s="149"/>
      <c r="E115" s="149"/>
      <c r="F115" s="149"/>
    </row>
    <row r="116" spans="1:6" x14ac:dyDescent="0.25">
      <c r="A116" s="141" t="s">
        <v>264</v>
      </c>
      <c r="B116" s="150">
        <v>3840736742.9900002</v>
      </c>
      <c r="C116" s="150">
        <v>3840717585.4000001</v>
      </c>
      <c r="D116" s="151">
        <v>6832448.9189999998</v>
      </c>
      <c r="E116" s="150">
        <v>-19157.59</v>
      </c>
      <c r="F116" s="15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77"/>
  <sheetViews>
    <sheetView showGridLines="0" zoomScale="90" zoomScaleNormal="90" workbookViewId="0">
      <pane xSplit="2" ySplit="1" topLeftCell="C38" activePane="bottomRight" state="frozen"/>
      <selection pane="topRight" activeCell="C1" sqref="C1"/>
      <selection pane="bottomLeft" activeCell="A2" sqref="A2"/>
      <selection pane="bottomRight" activeCell="B74" sqref="B74"/>
    </sheetView>
  </sheetViews>
  <sheetFormatPr defaultColWidth="9.28515625" defaultRowHeight="12" outlineLevelCol="1" x14ac:dyDescent="0.2"/>
  <cols>
    <col min="1" max="1" width="2.28515625" style="1" customWidth="1"/>
    <col min="2" max="2" width="39.7109375" style="1" customWidth="1"/>
    <col min="3" max="3" width="11" style="45" hidden="1" customWidth="1" outlineLevel="1"/>
    <col min="4" max="4" width="11" style="1" customWidth="1" collapsed="1"/>
    <col min="5" max="5" width="11" style="45" hidden="1" customWidth="1" outlineLevel="1"/>
    <col min="6" max="6" width="11" style="1" customWidth="1" collapsed="1"/>
    <col min="7" max="7" width="11" style="45" hidden="1" customWidth="1" outlineLevel="1"/>
    <col min="8" max="8" width="11" style="1" customWidth="1" collapsed="1"/>
    <col min="9" max="9" width="11" style="45" hidden="1" customWidth="1" outlineLevel="1"/>
    <col min="10" max="10" width="11" style="1" customWidth="1" collapsed="1"/>
    <col min="11" max="11" width="11" style="45" hidden="1" customWidth="1" outlineLevel="1"/>
    <col min="12" max="12" width="11" style="1" customWidth="1" collapsed="1"/>
    <col min="13" max="13" width="11" style="45" hidden="1" customWidth="1" outlineLevel="1"/>
    <col min="14" max="14" width="11" style="1" customWidth="1" collapsed="1"/>
    <col min="15" max="15" width="11" style="45" hidden="1" customWidth="1" outlineLevel="1"/>
    <col min="16" max="16" width="11" style="1" customWidth="1" collapsed="1"/>
    <col min="17" max="17" width="11" style="45" hidden="1" customWidth="1" outlineLevel="1"/>
    <col min="18" max="18" width="11" style="1" customWidth="1" collapsed="1"/>
    <col min="19" max="19" width="11" style="45" hidden="1" customWidth="1" outlineLevel="1"/>
    <col min="20" max="20" width="11" style="1" customWidth="1" collapsed="1"/>
    <col min="21" max="21" width="11" style="45" hidden="1" customWidth="1" outlineLevel="1"/>
    <col min="22" max="22" width="11" style="1" customWidth="1" collapsed="1"/>
    <col min="23" max="16384" width="9.28515625" style="1"/>
  </cols>
  <sheetData>
    <row r="1" spans="2:22" s="33" customFormat="1" ht="21" customHeight="1" x14ac:dyDescent="0.25">
      <c r="B1" s="31"/>
      <c r="C1" s="34" t="s">
        <v>99</v>
      </c>
      <c r="D1" s="32">
        <v>2016</v>
      </c>
      <c r="E1" s="34" t="s">
        <v>89</v>
      </c>
      <c r="F1" s="31">
        <v>2017</v>
      </c>
      <c r="G1" s="34" t="s">
        <v>90</v>
      </c>
      <c r="H1" s="31">
        <v>2018</v>
      </c>
      <c r="I1" s="34" t="s">
        <v>91</v>
      </c>
      <c r="J1" s="32">
        <v>2019</v>
      </c>
      <c r="K1" s="34" t="s">
        <v>127</v>
      </c>
      <c r="L1" s="32">
        <v>2020</v>
      </c>
      <c r="M1" s="34" t="s">
        <v>128</v>
      </c>
      <c r="N1" s="32">
        <v>2021</v>
      </c>
      <c r="O1" s="34" t="s">
        <v>436</v>
      </c>
      <c r="P1" s="32">
        <v>2022</v>
      </c>
      <c r="Q1" s="34" t="s">
        <v>437</v>
      </c>
      <c r="R1" s="32">
        <v>2023</v>
      </c>
      <c r="S1" s="34" t="s">
        <v>463</v>
      </c>
      <c r="T1" s="32">
        <v>2024</v>
      </c>
      <c r="U1" s="34" t="s">
        <v>472</v>
      </c>
      <c r="V1" s="32">
        <v>2025</v>
      </c>
    </row>
    <row r="2" spans="2:22" x14ac:dyDescent="0.2">
      <c r="C2" s="35"/>
      <c r="D2" s="15"/>
      <c r="E2" s="35"/>
      <c r="F2" s="14"/>
      <c r="G2" s="35"/>
      <c r="H2" s="14"/>
      <c r="I2" s="35"/>
      <c r="J2" s="15"/>
      <c r="K2" s="35"/>
      <c r="L2" s="15"/>
      <c r="M2" s="35"/>
      <c r="N2" s="15"/>
      <c r="O2" s="35"/>
      <c r="P2" s="15"/>
      <c r="Q2" s="35"/>
      <c r="R2" s="15"/>
      <c r="S2" s="35"/>
      <c r="T2" s="15"/>
      <c r="U2" s="35"/>
      <c r="V2" s="15"/>
    </row>
    <row r="3" spans="2:22" ht="18" x14ac:dyDescent="0.25">
      <c r="B3" s="28" t="s">
        <v>9</v>
      </c>
      <c r="C3" s="37"/>
      <c r="D3" s="30"/>
      <c r="E3" s="37"/>
      <c r="F3" s="29"/>
      <c r="G3" s="37"/>
      <c r="H3" s="29"/>
      <c r="I3" s="37"/>
      <c r="J3" s="30"/>
      <c r="K3" s="37"/>
      <c r="L3" s="30"/>
      <c r="M3" s="37"/>
      <c r="N3" s="30"/>
      <c r="O3" s="37"/>
      <c r="P3" s="30"/>
      <c r="Q3" s="37"/>
      <c r="R3" s="30"/>
      <c r="S3" s="37"/>
      <c r="T3" s="30"/>
      <c r="U3" s="37"/>
      <c r="V3" s="30"/>
    </row>
    <row r="4" spans="2:22" x14ac:dyDescent="0.2">
      <c r="B4" s="1" t="s">
        <v>10</v>
      </c>
      <c r="C4" s="35"/>
      <c r="D4" s="15"/>
      <c r="E4" s="35"/>
      <c r="F4" s="14"/>
      <c r="G4" s="35"/>
      <c r="H4" s="14"/>
      <c r="I4" s="35"/>
      <c r="J4" s="15"/>
      <c r="K4" s="35"/>
      <c r="L4" s="15"/>
      <c r="M4" s="35"/>
      <c r="N4" s="15"/>
      <c r="O4" s="35"/>
      <c r="P4" s="15"/>
      <c r="Q4" s="35"/>
      <c r="R4" s="15"/>
      <c r="S4" s="35"/>
      <c r="T4" s="15"/>
      <c r="U4" s="35"/>
      <c r="V4" s="15"/>
    </row>
    <row r="5" spans="2:22" x14ac:dyDescent="0.2">
      <c r="C5" s="35"/>
      <c r="D5" s="15"/>
      <c r="E5" s="35"/>
      <c r="F5" s="14"/>
      <c r="G5" s="35"/>
      <c r="H5" s="14"/>
      <c r="I5" s="35"/>
      <c r="J5" s="15"/>
      <c r="K5" s="35"/>
      <c r="L5" s="15"/>
      <c r="M5" s="35"/>
      <c r="N5" s="15"/>
      <c r="O5" s="35"/>
      <c r="P5" s="15"/>
      <c r="Q5" s="35"/>
      <c r="R5" s="15"/>
      <c r="S5" s="35"/>
      <c r="T5" s="15"/>
      <c r="U5" s="35"/>
      <c r="V5" s="15"/>
    </row>
    <row r="6" spans="2:22" x14ac:dyDescent="0.2">
      <c r="B6" s="1" t="s">
        <v>11</v>
      </c>
      <c r="C6" s="48">
        <v>1704314</v>
      </c>
      <c r="D6" s="49">
        <f>1722708</f>
        <v>1722708</v>
      </c>
      <c r="E6" s="48">
        <v>1804162</v>
      </c>
      <c r="F6" s="47">
        <v>2018083</v>
      </c>
      <c r="G6" s="48">
        <v>2457432</v>
      </c>
      <c r="H6" s="47">
        <f>3064930</f>
        <v>3064930</v>
      </c>
      <c r="I6" s="48">
        <v>4133753</v>
      </c>
      <c r="J6" s="49">
        <v>4783866</v>
      </c>
      <c r="K6" s="48">
        <v>5954621</v>
      </c>
      <c r="L6" s="49">
        <v>6379612</v>
      </c>
      <c r="M6" s="48">
        <v>7779006</v>
      </c>
      <c r="N6" s="49">
        <v>8771811</v>
      </c>
      <c r="O6" s="48">
        <v>9430451</v>
      </c>
      <c r="P6" s="49">
        <v>9638606</v>
      </c>
      <c r="Q6" s="48">
        <v>10336979</v>
      </c>
      <c r="R6" s="49">
        <v>11683324</v>
      </c>
      <c r="S6" s="48">
        <v>14344711</v>
      </c>
      <c r="T6" s="49">
        <v>17413759</v>
      </c>
      <c r="U6" s="48">
        <v>19023142</v>
      </c>
      <c r="V6" s="49">
        <v>20058191</v>
      </c>
    </row>
    <row r="7" spans="2:22" x14ac:dyDescent="0.2">
      <c r="B7" s="4" t="s">
        <v>74</v>
      </c>
      <c r="C7" s="48"/>
      <c r="D7" s="49">
        <f>2211011</f>
        <v>2211011</v>
      </c>
      <c r="E7" s="48"/>
      <c r="F7" s="47">
        <f>2742071</f>
        <v>2742071</v>
      </c>
      <c r="G7" s="48"/>
      <c r="H7" s="47">
        <f>4123205</f>
        <v>4123205</v>
      </c>
      <c r="I7" s="48"/>
      <c r="J7" s="49">
        <v>6249349</v>
      </c>
      <c r="K7" s="48"/>
      <c r="L7" s="49">
        <v>8600130</v>
      </c>
      <c r="M7" s="48"/>
      <c r="N7" s="49">
        <v>11869602</v>
      </c>
      <c r="O7" s="48"/>
      <c r="P7" s="49">
        <v>13663896</v>
      </c>
      <c r="Q7" s="48"/>
      <c r="R7" s="49">
        <v>17118325</v>
      </c>
      <c r="S7" s="48"/>
      <c r="T7" s="49">
        <v>23679998</v>
      </c>
      <c r="U7" s="48"/>
      <c r="V7" s="49">
        <v>27534759</v>
      </c>
    </row>
    <row r="8" spans="2:22" x14ac:dyDescent="0.2">
      <c r="B8" s="4" t="s">
        <v>75</v>
      </c>
      <c r="C8" s="48"/>
      <c r="D8" s="49">
        <f>+D7-D6</f>
        <v>488303</v>
      </c>
      <c r="E8" s="48"/>
      <c r="F8" s="47">
        <f>+F7-F6</f>
        <v>723988</v>
      </c>
      <c r="G8" s="48"/>
      <c r="H8" s="47">
        <f>+H7-H6</f>
        <v>1058275</v>
      </c>
      <c r="I8" s="48"/>
      <c r="J8" s="49">
        <f>+J7-J6</f>
        <v>1465483</v>
      </c>
      <c r="K8" s="48"/>
      <c r="L8" s="49">
        <f>+L7-L6</f>
        <v>2220518</v>
      </c>
      <c r="M8" s="48"/>
      <c r="N8" s="49">
        <f>+N7-N6</f>
        <v>3097791</v>
      </c>
      <c r="O8" s="48"/>
      <c r="P8" s="49">
        <f>+P7-P6</f>
        <v>4025290</v>
      </c>
      <c r="Q8" s="48"/>
      <c r="R8" s="49">
        <f>+R7-R6</f>
        <v>5435001</v>
      </c>
      <c r="S8" s="48"/>
      <c r="T8" s="49">
        <f>+T7-T6</f>
        <v>6266239</v>
      </c>
      <c r="U8" s="48"/>
      <c r="V8" s="49">
        <v>7476568</v>
      </c>
    </row>
    <row r="9" spans="2:22" x14ac:dyDescent="0.2">
      <c r="B9" s="1" t="s">
        <v>466</v>
      </c>
      <c r="C9" s="48">
        <v>0</v>
      </c>
      <c r="D9" s="49">
        <v>0</v>
      </c>
      <c r="E9" s="48">
        <v>0</v>
      </c>
      <c r="F9" s="47">
        <v>0</v>
      </c>
      <c r="G9" s="48">
        <v>0</v>
      </c>
      <c r="H9" s="47">
        <v>0</v>
      </c>
      <c r="I9" s="48">
        <v>0</v>
      </c>
      <c r="J9" s="49">
        <v>0</v>
      </c>
      <c r="K9" s="48">
        <v>0</v>
      </c>
      <c r="L9" s="49">
        <v>0</v>
      </c>
      <c r="M9" s="48">
        <v>0</v>
      </c>
      <c r="N9" s="49">
        <v>0</v>
      </c>
      <c r="O9" s="48">
        <v>0</v>
      </c>
      <c r="P9" s="49">
        <v>0</v>
      </c>
      <c r="Q9" s="48">
        <v>0</v>
      </c>
      <c r="R9" s="49">
        <v>0</v>
      </c>
      <c r="S9" s="48">
        <v>0</v>
      </c>
      <c r="T9" s="49">
        <v>45336</v>
      </c>
      <c r="U9" s="48">
        <v>122348</v>
      </c>
      <c r="V9" s="49">
        <v>272042</v>
      </c>
    </row>
    <row r="10" spans="2:22" x14ac:dyDescent="0.2">
      <c r="B10" s="1" t="s">
        <v>12</v>
      </c>
      <c r="C10" s="48">
        <v>0</v>
      </c>
      <c r="D10" s="49">
        <v>0</v>
      </c>
      <c r="E10" s="48">
        <v>0</v>
      </c>
      <c r="F10" s="47">
        <v>0</v>
      </c>
      <c r="G10" s="48">
        <v>0</v>
      </c>
      <c r="H10" s="47">
        <v>0</v>
      </c>
      <c r="I10" s="48">
        <v>63403</v>
      </c>
      <c r="J10" s="49">
        <v>122256</v>
      </c>
      <c r="K10" s="48">
        <v>143508</v>
      </c>
      <c r="L10" s="49">
        <v>160020</v>
      </c>
      <c r="M10" s="48">
        <v>197522</v>
      </c>
      <c r="N10" s="49">
        <v>192813</v>
      </c>
      <c r="O10" s="48">
        <v>288163</v>
      </c>
      <c r="P10" s="49">
        <v>367918</v>
      </c>
      <c r="Q10" s="48">
        <v>334986</v>
      </c>
      <c r="R10" s="49">
        <v>303577</v>
      </c>
      <c r="S10" s="48">
        <v>273130</v>
      </c>
      <c r="T10" s="49">
        <v>324890</v>
      </c>
      <c r="U10" s="48">
        <v>283155</v>
      </c>
      <c r="V10" s="49">
        <v>511915</v>
      </c>
    </row>
    <row r="11" spans="2:22" x14ac:dyDescent="0.2">
      <c r="B11" s="1" t="s">
        <v>3</v>
      </c>
      <c r="C11" s="48">
        <v>0</v>
      </c>
      <c r="D11" s="49">
        <v>0</v>
      </c>
      <c r="E11" s="48">
        <v>0</v>
      </c>
      <c r="F11" s="47">
        <v>32633</v>
      </c>
      <c r="G11" s="48">
        <v>0</v>
      </c>
      <c r="H11" s="47">
        <v>32633</v>
      </c>
      <c r="I11" s="48">
        <v>32633</v>
      </c>
      <c r="J11" s="49">
        <v>32633</v>
      </c>
      <c r="K11" s="48">
        <v>32633</v>
      </c>
      <c r="L11" s="49">
        <v>474616</v>
      </c>
      <c r="M11" s="48">
        <v>474616</v>
      </c>
      <c r="N11" s="49">
        <v>519509</v>
      </c>
      <c r="O11" s="48">
        <v>519509</v>
      </c>
      <c r="P11" s="49">
        <v>698763</v>
      </c>
      <c r="Q11" s="48">
        <v>653499</v>
      </c>
      <c r="R11" s="49">
        <v>735883</v>
      </c>
      <c r="S11" s="48">
        <v>735883</v>
      </c>
      <c r="T11" s="49">
        <v>735883</v>
      </c>
      <c r="U11" s="48">
        <v>735883</v>
      </c>
      <c r="V11" s="49">
        <v>735883</v>
      </c>
    </row>
    <row r="12" spans="2:22" x14ac:dyDescent="0.2">
      <c r="B12" s="1" t="s">
        <v>13</v>
      </c>
      <c r="C12" s="48">
        <v>0</v>
      </c>
      <c r="D12" s="49">
        <v>0</v>
      </c>
      <c r="E12" s="48">
        <v>0</v>
      </c>
      <c r="F12" s="47">
        <v>0</v>
      </c>
      <c r="G12" s="48">
        <v>0</v>
      </c>
      <c r="H12" s="47">
        <v>450000</v>
      </c>
      <c r="I12" s="48">
        <v>0</v>
      </c>
      <c r="J12" s="49">
        <v>26437</v>
      </c>
      <c r="K12" s="48">
        <v>27304</v>
      </c>
      <c r="L12" s="49">
        <v>32644</v>
      </c>
      <c r="M12" s="48">
        <v>32050</v>
      </c>
      <c r="N12" s="49">
        <v>32037</v>
      </c>
      <c r="O12" s="48">
        <v>19893</v>
      </c>
      <c r="P12" s="49">
        <v>0</v>
      </c>
      <c r="Q12" s="48">
        <v>0</v>
      </c>
      <c r="R12" s="49">
        <v>0</v>
      </c>
      <c r="S12" s="48">
        <v>0</v>
      </c>
      <c r="T12" s="49">
        <v>0</v>
      </c>
      <c r="U12" s="48">
        <v>0</v>
      </c>
      <c r="V12" s="49">
        <v>0</v>
      </c>
    </row>
    <row r="13" spans="2:22" x14ac:dyDescent="0.2">
      <c r="B13" s="1" t="s">
        <v>439</v>
      </c>
      <c r="C13" s="48">
        <v>0</v>
      </c>
      <c r="D13" s="49">
        <v>0</v>
      </c>
      <c r="E13" s="48">
        <v>0</v>
      </c>
      <c r="F13" s="47">
        <v>0</v>
      </c>
      <c r="G13" s="48">
        <v>0</v>
      </c>
      <c r="H13" s="47">
        <v>0</v>
      </c>
      <c r="I13" s="48">
        <v>0</v>
      </c>
      <c r="J13" s="49">
        <v>0</v>
      </c>
      <c r="K13" s="48">
        <v>0</v>
      </c>
      <c r="L13" s="49">
        <v>0</v>
      </c>
      <c r="M13" s="48">
        <v>0</v>
      </c>
      <c r="N13" s="49">
        <v>0</v>
      </c>
      <c r="O13" s="48">
        <v>0</v>
      </c>
      <c r="P13" s="49">
        <v>559045</v>
      </c>
      <c r="Q13" s="48">
        <v>650115</v>
      </c>
      <c r="R13" s="49">
        <v>699378</v>
      </c>
      <c r="S13" s="48">
        <v>643721</v>
      </c>
      <c r="T13" s="49">
        <v>726582</v>
      </c>
      <c r="U13" s="48">
        <v>638377</v>
      </c>
      <c r="V13" s="49">
        <v>647813</v>
      </c>
    </row>
    <row r="14" spans="2:22" x14ac:dyDescent="0.2">
      <c r="B14" s="1" t="s">
        <v>14</v>
      </c>
      <c r="C14" s="48">
        <v>0</v>
      </c>
      <c r="D14" s="49">
        <v>0</v>
      </c>
      <c r="E14" s="48">
        <v>0</v>
      </c>
      <c r="F14" s="47">
        <v>0</v>
      </c>
      <c r="G14" s="48">
        <v>0</v>
      </c>
      <c r="H14" s="47">
        <v>124649</v>
      </c>
      <c r="I14" s="48">
        <v>143546</v>
      </c>
      <c r="J14" s="49">
        <v>158157</v>
      </c>
      <c r="K14" s="48">
        <v>159205</v>
      </c>
      <c r="L14" s="49">
        <v>0</v>
      </c>
      <c r="M14" s="48">
        <v>0</v>
      </c>
      <c r="N14" s="49">
        <v>0</v>
      </c>
      <c r="O14" s="48">
        <v>0</v>
      </c>
      <c r="P14" s="49">
        <v>0</v>
      </c>
      <c r="Q14" s="48">
        <v>4000</v>
      </c>
      <c r="R14" s="49">
        <v>4000</v>
      </c>
      <c r="S14" s="48">
        <v>4000</v>
      </c>
      <c r="T14" s="49">
        <v>248569</v>
      </c>
      <c r="U14" s="48">
        <v>243415</v>
      </c>
      <c r="V14" s="49">
        <v>255229</v>
      </c>
    </row>
    <row r="15" spans="2:22" x14ac:dyDescent="0.2">
      <c r="B15" s="1" t="s">
        <v>17</v>
      </c>
      <c r="C15" s="48">
        <v>0</v>
      </c>
      <c r="D15" s="49">
        <v>0</v>
      </c>
      <c r="E15" s="48">
        <v>0</v>
      </c>
      <c r="F15" s="47">
        <v>0</v>
      </c>
      <c r="G15" s="48">
        <v>400000</v>
      </c>
      <c r="H15" s="47">
        <v>0</v>
      </c>
      <c r="I15" s="48">
        <v>0</v>
      </c>
      <c r="J15" s="49">
        <v>20080</v>
      </c>
      <c r="K15" s="48">
        <v>19980</v>
      </c>
      <c r="L15" s="49">
        <v>22097</v>
      </c>
      <c r="M15" s="48">
        <v>9532</v>
      </c>
      <c r="N15" s="49">
        <v>0</v>
      </c>
      <c r="O15" s="48">
        <v>0</v>
      </c>
      <c r="P15" s="49">
        <v>14476</v>
      </c>
      <c r="Q15" s="48">
        <v>0</v>
      </c>
      <c r="R15" s="49">
        <v>75564</v>
      </c>
      <c r="S15" s="48"/>
      <c r="T15" s="49">
        <v>81272</v>
      </c>
      <c r="U15" s="48">
        <v>112653</v>
      </c>
      <c r="V15" s="49">
        <v>80777</v>
      </c>
    </row>
    <row r="16" spans="2:22" x14ac:dyDescent="0.2">
      <c r="B16" s="1" t="s">
        <v>15</v>
      </c>
      <c r="C16" s="48">
        <v>1783</v>
      </c>
      <c r="D16" s="49">
        <v>1553</v>
      </c>
      <c r="E16" s="48">
        <v>11085</v>
      </c>
      <c r="F16" s="47">
        <v>13458</v>
      </c>
      <c r="G16" s="48">
        <v>15016</v>
      </c>
      <c r="H16" s="47">
        <v>16422</v>
      </c>
      <c r="I16" s="48">
        <v>14875</v>
      </c>
      <c r="J16" s="49">
        <v>16412</v>
      </c>
      <c r="K16" s="48">
        <v>17328</v>
      </c>
      <c r="L16" s="49">
        <v>18668</v>
      </c>
      <c r="M16" s="48">
        <v>18719</v>
      </c>
      <c r="N16" s="49">
        <v>19805</v>
      </c>
      <c r="O16" s="48">
        <v>14851</v>
      </c>
      <c r="P16" s="49">
        <v>4219</v>
      </c>
      <c r="Q16" s="48">
        <v>18254</v>
      </c>
      <c r="R16" s="49">
        <v>44500</v>
      </c>
      <c r="S16" s="48">
        <v>40715</v>
      </c>
      <c r="T16" s="49">
        <v>55169</v>
      </c>
      <c r="U16" s="48">
        <v>53367</v>
      </c>
      <c r="V16" s="49">
        <v>55982</v>
      </c>
    </row>
    <row r="17" spans="2:22" x14ac:dyDescent="0.2">
      <c r="B17" s="1" t="s">
        <v>114</v>
      </c>
      <c r="C17" s="48">
        <v>24280</v>
      </c>
      <c r="D17" s="49">
        <v>0</v>
      </c>
      <c r="E17" s="48">
        <v>0</v>
      </c>
      <c r="F17" s="47">
        <v>192757</v>
      </c>
      <c r="G17" s="48">
        <v>197365</v>
      </c>
      <c r="H17" s="47">
        <v>119230</v>
      </c>
      <c r="I17" s="48">
        <v>278291</v>
      </c>
      <c r="J17" s="49">
        <v>377822</v>
      </c>
      <c r="K17" s="48">
        <v>163528</v>
      </c>
      <c r="L17" s="49">
        <v>203646</v>
      </c>
      <c r="M17" s="48">
        <v>281963</v>
      </c>
      <c r="N17" s="49">
        <v>303143</v>
      </c>
      <c r="O17" s="48">
        <v>354303</v>
      </c>
      <c r="P17" s="49">
        <v>825089</v>
      </c>
      <c r="Q17" s="48">
        <v>1967570</v>
      </c>
      <c r="R17" s="49">
        <v>2437249</v>
      </c>
      <c r="S17" s="48">
        <v>2759784</v>
      </c>
      <c r="T17" s="49">
        <v>1735400</v>
      </c>
      <c r="U17" s="48">
        <v>1446924</v>
      </c>
      <c r="V17" s="49">
        <v>641338</v>
      </c>
    </row>
    <row r="18" spans="2:22" x14ac:dyDescent="0.2">
      <c r="B18" s="1" t="s">
        <v>16</v>
      </c>
      <c r="C18" s="48">
        <v>44439</v>
      </c>
      <c r="D18" s="49">
        <v>11329</v>
      </c>
      <c r="E18" s="48">
        <v>5938</v>
      </c>
      <c r="F18" s="47">
        <v>13972</v>
      </c>
      <c r="G18" s="48">
        <v>8791</v>
      </c>
      <c r="H18" s="47">
        <v>8828</v>
      </c>
      <c r="I18" s="48">
        <v>4490</v>
      </c>
      <c r="J18" s="49">
        <v>8362</v>
      </c>
      <c r="K18" s="48">
        <v>4897</v>
      </c>
      <c r="L18" s="49">
        <v>11367</v>
      </c>
      <c r="M18" s="48">
        <v>6464</v>
      </c>
      <c r="N18" s="49">
        <v>8716</v>
      </c>
      <c r="O18" s="48">
        <v>13493</v>
      </c>
      <c r="P18" s="49">
        <v>26900</v>
      </c>
      <c r="Q18" s="48">
        <v>60967</v>
      </c>
      <c r="R18" s="49">
        <v>51606</v>
      </c>
      <c r="S18" s="48">
        <v>64918</v>
      </c>
      <c r="T18" s="49">
        <v>126685</v>
      </c>
      <c r="U18" s="48">
        <v>182475</v>
      </c>
      <c r="V18" s="49">
        <v>193686</v>
      </c>
    </row>
    <row r="19" spans="2:22" x14ac:dyDescent="0.2">
      <c r="B19" s="1" t="s">
        <v>126</v>
      </c>
      <c r="C19" s="48">
        <v>0</v>
      </c>
      <c r="D19" s="49">
        <v>0</v>
      </c>
      <c r="E19" s="48">
        <v>0</v>
      </c>
      <c r="F19" s="47">
        <v>0</v>
      </c>
      <c r="G19" s="48">
        <v>0</v>
      </c>
      <c r="H19" s="47">
        <v>0</v>
      </c>
      <c r="I19" s="48">
        <v>0</v>
      </c>
      <c r="J19" s="49">
        <v>29786</v>
      </c>
      <c r="K19" s="48">
        <v>23003</v>
      </c>
      <c r="L19" s="49">
        <v>19833</v>
      </c>
      <c r="M19" s="48">
        <v>21350</v>
      </c>
      <c r="N19" s="49">
        <v>20871</v>
      </c>
      <c r="O19" s="48">
        <v>20772</v>
      </c>
      <c r="P19" s="49">
        <v>0</v>
      </c>
      <c r="Q19" s="48">
        <v>13543</v>
      </c>
      <c r="R19" s="49">
        <v>0</v>
      </c>
      <c r="S19" s="48">
        <v>2616</v>
      </c>
      <c r="T19" s="49">
        <v>0</v>
      </c>
      <c r="U19" s="48"/>
      <c r="V19" s="49">
        <v>0</v>
      </c>
    </row>
    <row r="20" spans="2:22" s="2" customFormat="1" x14ac:dyDescent="0.2">
      <c r="B20" s="6" t="s">
        <v>87</v>
      </c>
      <c r="C20" s="51">
        <f t="shared" ref="C20:S20" si="0">+C6+C10+C11+C12+C14+C15+C16+C17+C18+C19+C13+C9</f>
        <v>1774816</v>
      </c>
      <c r="D20" s="52">
        <f t="shared" si="0"/>
        <v>1735590</v>
      </c>
      <c r="E20" s="51">
        <f t="shared" si="0"/>
        <v>1821185</v>
      </c>
      <c r="F20" s="52">
        <f t="shared" si="0"/>
        <v>2270903</v>
      </c>
      <c r="G20" s="51">
        <f t="shared" si="0"/>
        <v>3078604</v>
      </c>
      <c r="H20" s="52">
        <f t="shared" si="0"/>
        <v>3816692</v>
      </c>
      <c r="I20" s="51">
        <f t="shared" si="0"/>
        <v>4670991</v>
      </c>
      <c r="J20" s="52">
        <f t="shared" si="0"/>
        <v>5575811</v>
      </c>
      <c r="K20" s="51">
        <f t="shared" si="0"/>
        <v>6546007</v>
      </c>
      <c r="L20" s="52">
        <f t="shared" si="0"/>
        <v>7322503</v>
      </c>
      <c r="M20" s="51">
        <f t="shared" si="0"/>
        <v>8821222</v>
      </c>
      <c r="N20" s="52">
        <f t="shared" si="0"/>
        <v>9868705</v>
      </c>
      <c r="O20" s="51">
        <f t="shared" si="0"/>
        <v>10661435</v>
      </c>
      <c r="P20" s="52">
        <f t="shared" si="0"/>
        <v>12135016</v>
      </c>
      <c r="Q20" s="51">
        <f t="shared" si="0"/>
        <v>14039913</v>
      </c>
      <c r="R20" s="52">
        <f t="shared" si="0"/>
        <v>16035081</v>
      </c>
      <c r="S20" s="51">
        <f t="shared" si="0"/>
        <v>18869478</v>
      </c>
      <c r="T20" s="52">
        <f>+T6+T10+T11+T12+T14+T15+T16+T17+T18+T19+T13+T9</f>
        <v>21493545</v>
      </c>
      <c r="U20" s="51">
        <f>+U6+U10+U11+U12+U14+U15+U16+U17+U18+U19+U13+U9</f>
        <v>22841739</v>
      </c>
      <c r="V20" s="52">
        <f>+V6+V10+V11+V12+V14+V15+V16+V17+V18+V19+V13+V9</f>
        <v>23452856</v>
      </c>
    </row>
    <row r="21" spans="2:22" x14ac:dyDescent="0.2">
      <c r="C21" s="39"/>
      <c r="D21" s="18"/>
      <c r="E21" s="39"/>
      <c r="F21" s="16"/>
      <c r="G21" s="39"/>
      <c r="H21" s="16"/>
      <c r="I21" s="39"/>
      <c r="J21" s="18"/>
      <c r="K21" s="39"/>
      <c r="L21" s="18"/>
      <c r="M21" s="39"/>
      <c r="N21" s="18"/>
      <c r="O21" s="39"/>
      <c r="P21" s="18"/>
      <c r="Q21" s="39"/>
      <c r="R21" s="18"/>
      <c r="S21" s="39"/>
      <c r="T21" s="18"/>
      <c r="U21" s="39"/>
      <c r="V21" s="18"/>
    </row>
    <row r="22" spans="2:22" x14ac:dyDescent="0.2">
      <c r="B22" s="1" t="s">
        <v>2</v>
      </c>
      <c r="C22" s="48">
        <v>160395</v>
      </c>
      <c r="D22" s="49">
        <v>143781</v>
      </c>
      <c r="E22" s="48">
        <v>250920</v>
      </c>
      <c r="F22" s="47">
        <v>185230</v>
      </c>
      <c r="G22" s="48">
        <v>324592</v>
      </c>
      <c r="H22" s="47">
        <v>377797</v>
      </c>
      <c r="I22" s="48">
        <v>719290</v>
      </c>
      <c r="J22" s="49">
        <v>620943</v>
      </c>
      <c r="K22" s="48">
        <v>1094718</v>
      </c>
      <c r="L22" s="49">
        <v>930142</v>
      </c>
      <c r="M22" s="48">
        <v>1290136</v>
      </c>
      <c r="N22" s="49">
        <v>1657072</v>
      </c>
      <c r="O22" s="48">
        <v>3084871</v>
      </c>
      <c r="P22" s="49">
        <v>3366104</v>
      </c>
      <c r="Q22" s="48">
        <v>6579791</v>
      </c>
      <c r="R22" s="49">
        <v>5369883</v>
      </c>
      <c r="S22" s="48">
        <v>5476965</v>
      </c>
      <c r="T22" s="49">
        <v>3474244</v>
      </c>
      <c r="U22" s="48">
        <v>4662883</v>
      </c>
      <c r="V22" s="49">
        <v>3685440</v>
      </c>
    </row>
    <row r="23" spans="2:22" x14ac:dyDescent="0.2">
      <c r="B23" s="1" t="s">
        <v>124</v>
      </c>
      <c r="C23" s="48">
        <v>1488119</v>
      </c>
      <c r="D23" s="49">
        <v>3353805</v>
      </c>
      <c r="E23" s="48">
        <v>1326381</v>
      </c>
      <c r="F23" s="47">
        <v>1702552</v>
      </c>
      <c r="G23" s="48">
        <v>3088991</v>
      </c>
      <c r="H23" s="47">
        <v>6050823</v>
      </c>
      <c r="I23" s="48">
        <v>4658086</v>
      </c>
      <c r="J23" s="49">
        <v>6840305</v>
      </c>
      <c r="K23" s="48">
        <v>3995686</v>
      </c>
      <c r="L23" s="49">
        <v>9967703</v>
      </c>
      <c r="M23" s="48">
        <v>9841236</v>
      </c>
      <c r="N23" s="49">
        <v>14720405</v>
      </c>
      <c r="O23" s="48">
        <v>15660354</v>
      </c>
      <c r="P23" s="49">
        <v>20324008</v>
      </c>
      <c r="Q23" s="48">
        <v>22591255</v>
      </c>
      <c r="R23" s="49">
        <v>28598620</v>
      </c>
      <c r="S23" s="48">
        <v>15964881</v>
      </c>
      <c r="T23" s="49">
        <v>26560589</v>
      </c>
      <c r="U23" s="48">
        <v>19087872</v>
      </c>
      <c r="V23" s="49">
        <v>26416122</v>
      </c>
    </row>
    <row r="24" spans="2:22" x14ac:dyDescent="0.2">
      <c r="B24" s="1" t="s">
        <v>125</v>
      </c>
      <c r="C24" s="35"/>
      <c r="D24" s="49">
        <f>D23-D25</f>
        <v>1824641</v>
      </c>
      <c r="E24" s="35"/>
      <c r="F24" s="47">
        <f>F23-F25</f>
        <v>1513445</v>
      </c>
      <c r="G24" s="35"/>
      <c r="H24" s="47">
        <f>3638312+397212</f>
        <v>4035524</v>
      </c>
      <c r="I24" s="35"/>
      <c r="J24" s="47">
        <f t="shared" ref="J24:L24" si="1">J23-J25</f>
        <v>4158195</v>
      </c>
      <c r="K24" s="35">
        <f t="shared" si="1"/>
        <v>3626088</v>
      </c>
      <c r="L24" s="47">
        <f t="shared" si="1"/>
        <v>6817378</v>
      </c>
      <c r="M24" s="35">
        <f t="shared" ref="M24:R24" si="2">M23-M25</f>
        <v>6409444</v>
      </c>
      <c r="N24" s="47">
        <f t="shared" si="2"/>
        <v>8400533</v>
      </c>
      <c r="O24" s="35">
        <f t="shared" si="2"/>
        <v>7885507</v>
      </c>
      <c r="P24" s="47">
        <f t="shared" si="2"/>
        <v>12242950</v>
      </c>
      <c r="Q24" s="35">
        <f t="shared" si="2"/>
        <v>11386730</v>
      </c>
      <c r="R24" s="49">
        <f t="shared" si="2"/>
        <v>14271698</v>
      </c>
      <c r="S24" s="35">
        <f t="shared" ref="S24:U24" si="3">S23-S25</f>
        <v>9615459</v>
      </c>
      <c r="T24" s="49">
        <f t="shared" si="3"/>
        <v>14740114</v>
      </c>
      <c r="U24" s="35">
        <f t="shared" si="3"/>
        <v>15595224</v>
      </c>
      <c r="V24" s="49">
        <f>V23-V25</f>
        <v>19002447</v>
      </c>
    </row>
    <row r="25" spans="2:22" x14ac:dyDescent="0.2">
      <c r="B25" s="1" t="s">
        <v>123</v>
      </c>
      <c r="C25" s="48"/>
      <c r="D25" s="49">
        <f>1472017+57147</f>
        <v>1529164</v>
      </c>
      <c r="E25" s="48"/>
      <c r="F25" s="47">
        <f>75534+113573</f>
        <v>189107</v>
      </c>
      <c r="G25" s="48"/>
      <c r="H25" s="47">
        <f>1929305+85994</f>
        <v>2015299</v>
      </c>
      <c r="I25" s="48"/>
      <c r="J25" s="49">
        <f>2620295+61815</f>
        <v>2682110</v>
      </c>
      <c r="K25" s="48">
        <f>369598</f>
        <v>369598</v>
      </c>
      <c r="L25" s="49">
        <f>2968422+181903</f>
        <v>3150325</v>
      </c>
      <c r="M25" s="48">
        <f>3431792</f>
        <v>3431792</v>
      </c>
      <c r="N25" s="49">
        <f>6069871+250001</f>
        <v>6319872</v>
      </c>
      <c r="O25" s="48">
        <v>7774847</v>
      </c>
      <c r="P25" s="49">
        <v>8081058</v>
      </c>
      <c r="Q25" s="48">
        <v>11204525</v>
      </c>
      <c r="R25" s="49">
        <v>14326922</v>
      </c>
      <c r="S25" s="48">
        <v>6349422</v>
      </c>
      <c r="T25" s="49">
        <v>11820475</v>
      </c>
      <c r="U25" s="48">
        <v>3492648</v>
      </c>
      <c r="V25" s="49">
        <v>7413675</v>
      </c>
    </row>
    <row r="26" spans="2:22" x14ac:dyDescent="0.2">
      <c r="B26" s="1" t="s">
        <v>18</v>
      </c>
      <c r="C26" s="48">
        <v>109990</v>
      </c>
      <c r="D26" s="49">
        <v>314496</v>
      </c>
      <c r="E26" s="48">
        <v>187869</v>
      </c>
      <c r="F26" s="47">
        <v>25299</v>
      </c>
      <c r="G26" s="48">
        <v>71789</v>
      </c>
      <c r="H26" s="47">
        <v>345282</v>
      </c>
      <c r="I26" s="48">
        <v>117885</v>
      </c>
      <c r="J26" s="49">
        <v>632101</v>
      </c>
      <c r="K26" s="48">
        <v>170660</v>
      </c>
      <c r="L26" s="49">
        <v>560108</v>
      </c>
      <c r="M26" s="48">
        <v>620425</v>
      </c>
      <c r="N26" s="49">
        <v>1625037</v>
      </c>
      <c r="O26" s="48">
        <v>1495450</v>
      </c>
      <c r="P26" s="49">
        <v>2578345</v>
      </c>
      <c r="Q26" s="48">
        <v>1776746</v>
      </c>
      <c r="R26" s="49">
        <v>2680046</v>
      </c>
      <c r="S26" s="48">
        <v>1534514</v>
      </c>
      <c r="T26" s="49">
        <v>2232554</v>
      </c>
      <c r="U26" s="48">
        <v>1006702</v>
      </c>
      <c r="V26" s="49">
        <v>1280382</v>
      </c>
    </row>
    <row r="27" spans="2:22" x14ac:dyDescent="0.2">
      <c r="B27" s="1" t="s">
        <v>19</v>
      </c>
      <c r="C27" s="48">
        <v>65567</v>
      </c>
      <c r="D27" s="49">
        <v>5107</v>
      </c>
      <c r="E27" s="48">
        <v>14852</v>
      </c>
      <c r="F27" s="47">
        <v>7346</v>
      </c>
      <c r="G27" s="48">
        <v>267494</v>
      </c>
      <c r="H27" s="47">
        <v>22796</v>
      </c>
      <c r="I27" s="48">
        <v>51513</v>
      </c>
      <c r="J27" s="49">
        <v>37839</v>
      </c>
      <c r="K27" s="48">
        <v>186811</v>
      </c>
      <c r="L27" s="49">
        <v>27988</v>
      </c>
      <c r="M27" s="48">
        <v>307172</v>
      </c>
      <c r="N27" s="49">
        <v>49680</v>
      </c>
      <c r="O27" s="48">
        <v>63736</v>
      </c>
      <c r="P27" s="49">
        <v>34500</v>
      </c>
      <c r="Q27" s="48">
        <v>65340</v>
      </c>
      <c r="R27" s="49">
        <v>112379</v>
      </c>
      <c r="S27" s="48">
        <v>70548</v>
      </c>
      <c r="T27" s="49">
        <v>31301</v>
      </c>
      <c r="U27" s="48">
        <v>59053</v>
      </c>
      <c r="V27" s="49">
        <v>99508</v>
      </c>
    </row>
    <row r="28" spans="2:22" x14ac:dyDescent="0.2">
      <c r="B28" s="1" t="s">
        <v>20</v>
      </c>
      <c r="C28" s="48">
        <v>187213</v>
      </c>
      <c r="D28" s="49">
        <v>348469</v>
      </c>
      <c r="E28" s="48">
        <v>243253</v>
      </c>
      <c r="F28" s="47">
        <v>277795</v>
      </c>
      <c r="G28" s="48">
        <v>196279</v>
      </c>
      <c r="H28" s="47">
        <v>226156</v>
      </c>
      <c r="I28" s="48">
        <v>251604</v>
      </c>
      <c r="J28" s="49">
        <v>232672</v>
      </c>
      <c r="K28" s="48">
        <v>231928</v>
      </c>
      <c r="L28" s="49">
        <v>409959</v>
      </c>
      <c r="M28" s="48">
        <v>551945</v>
      </c>
      <c r="N28" s="49">
        <v>587451</v>
      </c>
      <c r="O28" s="48">
        <v>2014367</v>
      </c>
      <c r="P28" s="49">
        <v>3686121</v>
      </c>
      <c r="Q28" s="48">
        <v>3631054</v>
      </c>
      <c r="R28" s="49">
        <v>3006453</v>
      </c>
      <c r="S28" s="48">
        <v>4570885</v>
      </c>
      <c r="T28" s="49">
        <v>3460073</v>
      </c>
      <c r="U28" s="48">
        <v>3448001</v>
      </c>
      <c r="V28" s="49">
        <v>1856623</v>
      </c>
    </row>
    <row r="29" spans="2:22" x14ac:dyDescent="0.2">
      <c r="B29" s="1" t="s">
        <v>21</v>
      </c>
      <c r="C29" s="48">
        <v>0</v>
      </c>
      <c r="D29" s="49">
        <v>10</v>
      </c>
      <c r="E29" s="48">
        <v>112988</v>
      </c>
      <c r="F29" s="47">
        <v>10</v>
      </c>
      <c r="G29" s="48">
        <v>0</v>
      </c>
      <c r="H29" s="47">
        <v>258</v>
      </c>
      <c r="I29" s="48">
        <v>350</v>
      </c>
      <c r="J29" s="49">
        <v>300</v>
      </c>
      <c r="K29" s="48">
        <v>400</v>
      </c>
      <c r="L29" s="49">
        <v>12713</v>
      </c>
      <c r="M29" s="48">
        <v>16530</v>
      </c>
      <c r="N29" s="49">
        <v>43790</v>
      </c>
      <c r="O29" s="48">
        <v>22496</v>
      </c>
      <c r="P29" s="49">
        <v>82755</v>
      </c>
      <c r="Q29" s="48">
        <v>87304</v>
      </c>
      <c r="R29" s="49">
        <v>81742</v>
      </c>
      <c r="S29" s="48">
        <v>108773</v>
      </c>
      <c r="T29" s="49">
        <v>59164</v>
      </c>
      <c r="U29" s="48">
        <v>36073</v>
      </c>
      <c r="V29" s="49">
        <v>69982</v>
      </c>
    </row>
    <row r="30" spans="2:22" x14ac:dyDescent="0.2">
      <c r="B30" s="1" t="s">
        <v>188</v>
      </c>
      <c r="C30" s="48">
        <v>10923</v>
      </c>
      <c r="D30" s="49">
        <v>9804</v>
      </c>
      <c r="E30" s="48">
        <v>11241</v>
      </c>
      <c r="F30" s="47">
        <v>14899</v>
      </c>
      <c r="G30" s="48">
        <v>11495</v>
      </c>
      <c r="H30" s="47">
        <v>8260</v>
      </c>
      <c r="I30" s="48">
        <v>21401</v>
      </c>
      <c r="J30" s="49">
        <v>10588</v>
      </c>
      <c r="K30" s="48">
        <v>11422</v>
      </c>
      <c r="L30" s="49">
        <v>16039</v>
      </c>
      <c r="M30" s="48">
        <v>10814</v>
      </c>
      <c r="N30" s="49">
        <v>36312</v>
      </c>
      <c r="O30" s="48">
        <v>52173</v>
      </c>
      <c r="P30" s="49">
        <v>126857</v>
      </c>
      <c r="Q30" s="48">
        <v>133534</v>
      </c>
      <c r="R30" s="49">
        <v>16204</v>
      </c>
      <c r="S30" s="48">
        <v>18871</v>
      </c>
      <c r="T30" s="49">
        <v>5808</v>
      </c>
      <c r="U30" s="48">
        <v>18158</v>
      </c>
      <c r="V30" s="49">
        <v>41089</v>
      </c>
    </row>
    <row r="31" spans="2:22" x14ac:dyDescent="0.2">
      <c r="B31" s="1" t="s">
        <v>22</v>
      </c>
      <c r="C31" s="48">
        <v>20655</v>
      </c>
      <c r="D31" s="49">
        <v>33887</v>
      </c>
      <c r="E31" s="48">
        <v>149774</v>
      </c>
      <c r="F31" s="47">
        <v>1094110</v>
      </c>
      <c r="G31" s="48">
        <v>207033</v>
      </c>
      <c r="H31" s="47">
        <v>104702</v>
      </c>
      <c r="I31" s="48">
        <v>1063806</v>
      </c>
      <c r="J31" s="49">
        <v>84981</v>
      </c>
      <c r="K31" s="48">
        <v>1241992</v>
      </c>
      <c r="L31" s="49">
        <v>627884</v>
      </c>
      <c r="M31" s="48">
        <v>2592821</v>
      </c>
      <c r="N31" s="49">
        <v>298730</v>
      </c>
      <c r="O31" s="48">
        <v>2676137</v>
      </c>
      <c r="P31" s="49">
        <v>339130</v>
      </c>
      <c r="Q31" s="48">
        <v>2236416</v>
      </c>
      <c r="R31" s="49">
        <v>885348</v>
      </c>
      <c r="S31" s="48">
        <v>3106730</v>
      </c>
      <c r="T31" s="49">
        <v>1445200</v>
      </c>
      <c r="U31" s="48">
        <v>6073374</v>
      </c>
      <c r="V31" s="49">
        <v>3337796</v>
      </c>
    </row>
    <row r="32" spans="2:22" x14ac:dyDescent="0.2">
      <c r="B32" s="1" t="s">
        <v>475</v>
      </c>
      <c r="C32" s="48">
        <v>0</v>
      </c>
      <c r="D32" s="49">
        <v>0</v>
      </c>
      <c r="E32" s="48">
        <v>0</v>
      </c>
      <c r="F32" s="47">
        <v>0</v>
      </c>
      <c r="G32" s="48">
        <v>0</v>
      </c>
      <c r="H32" s="47">
        <v>0</v>
      </c>
      <c r="I32" s="48">
        <v>0</v>
      </c>
      <c r="J32" s="49">
        <v>0</v>
      </c>
      <c r="K32" s="48">
        <v>0</v>
      </c>
      <c r="L32" s="49">
        <v>0</v>
      </c>
      <c r="M32" s="48">
        <v>0</v>
      </c>
      <c r="N32" s="49">
        <v>0</v>
      </c>
      <c r="O32" s="48">
        <v>0</v>
      </c>
      <c r="P32" s="49">
        <v>0</v>
      </c>
      <c r="Q32" s="48">
        <v>0</v>
      </c>
      <c r="R32" s="49">
        <v>0</v>
      </c>
      <c r="S32" s="48">
        <v>0</v>
      </c>
      <c r="T32" s="49">
        <v>0</v>
      </c>
      <c r="U32" s="48">
        <v>0</v>
      </c>
      <c r="V32" s="49">
        <v>10727.508329999999</v>
      </c>
    </row>
    <row r="33" spans="2:22" x14ac:dyDescent="0.2">
      <c r="B33" s="1" t="s">
        <v>140</v>
      </c>
      <c r="C33" s="48">
        <v>3215963</v>
      </c>
      <c r="D33" s="49">
        <v>0</v>
      </c>
      <c r="E33" s="48">
        <v>0</v>
      </c>
      <c r="F33" s="47">
        <v>0</v>
      </c>
      <c r="G33" s="48">
        <v>0</v>
      </c>
      <c r="H33" s="47">
        <v>0</v>
      </c>
      <c r="I33" s="48">
        <v>0</v>
      </c>
      <c r="J33" s="49">
        <v>0</v>
      </c>
      <c r="K33" s="48">
        <v>0</v>
      </c>
      <c r="L33" s="49">
        <v>0</v>
      </c>
      <c r="M33" s="48">
        <v>0</v>
      </c>
      <c r="N33" s="49">
        <v>0</v>
      </c>
      <c r="O33" s="48">
        <v>0</v>
      </c>
      <c r="P33" s="49">
        <v>0</v>
      </c>
      <c r="Q33" s="48">
        <v>0</v>
      </c>
      <c r="R33" s="49">
        <v>0</v>
      </c>
      <c r="S33" s="48">
        <v>0</v>
      </c>
      <c r="T33" s="49">
        <v>0</v>
      </c>
      <c r="U33" s="48">
        <v>0</v>
      </c>
      <c r="V33" s="49">
        <v>0</v>
      </c>
    </row>
    <row r="34" spans="2:22" s="2" customFormat="1" x14ac:dyDescent="0.2">
      <c r="B34" s="6" t="s">
        <v>88</v>
      </c>
      <c r="C34" s="51">
        <f>+C22+C23+SUM(C26:C31)+C33</f>
        <v>5258825</v>
      </c>
      <c r="D34" s="52">
        <f>+D22+D23+SUM(D26:D33)</f>
        <v>4209359</v>
      </c>
      <c r="E34" s="51">
        <f t="shared" ref="E34:M34" si="4">+E22+E23+SUM(E26:E31)</f>
        <v>2297278</v>
      </c>
      <c r="F34" s="53">
        <f>+F22+F23+SUM(F26:F33)</f>
        <v>3307241</v>
      </c>
      <c r="G34" s="51">
        <f t="shared" si="4"/>
        <v>4167673</v>
      </c>
      <c r="H34" s="53">
        <f>+H22+H23+SUM(H26:H33)</f>
        <v>7136074</v>
      </c>
      <c r="I34" s="51">
        <f t="shared" si="4"/>
        <v>6883935</v>
      </c>
      <c r="J34" s="52">
        <f>+J22+J23+SUM(J26:J33)</f>
        <v>8459729</v>
      </c>
      <c r="K34" s="51">
        <f t="shared" si="4"/>
        <v>6933617</v>
      </c>
      <c r="L34" s="52">
        <f>+L22+L23+SUM(L26:L33)</f>
        <v>12552536</v>
      </c>
      <c r="M34" s="51">
        <f t="shared" si="4"/>
        <v>15231079</v>
      </c>
      <c r="N34" s="52">
        <f>+N22+N23+SUM(N26:N33)</f>
        <v>19018477</v>
      </c>
      <c r="O34" s="51">
        <f t="shared" ref="O34:S34" si="5">+O22+O23+SUM(O26:O31)</f>
        <v>25069584</v>
      </c>
      <c r="P34" s="52">
        <f>+P22+P23+SUM(P26:P33)</f>
        <v>30537820</v>
      </c>
      <c r="Q34" s="51">
        <f t="shared" si="5"/>
        <v>37101440</v>
      </c>
      <c r="R34" s="52">
        <f>+R22+R23+SUM(R26:R33)</f>
        <v>40750675</v>
      </c>
      <c r="S34" s="51">
        <f t="shared" si="5"/>
        <v>30852167</v>
      </c>
      <c r="T34" s="52">
        <f>+T22+T23+SUM(T26:T33)</f>
        <v>37268933</v>
      </c>
      <c r="U34" s="51">
        <f t="shared" ref="U34" si="6">+U22+U23+SUM(U26:U31)</f>
        <v>34392116</v>
      </c>
      <c r="V34" s="52">
        <f>+V22+V23+SUM(V26:V33)</f>
        <v>36797669.508330002</v>
      </c>
    </row>
    <row r="35" spans="2:22" x14ac:dyDescent="0.2">
      <c r="C35" s="39"/>
      <c r="D35" s="18"/>
      <c r="E35" s="39"/>
      <c r="F35" s="16"/>
      <c r="G35" s="39"/>
      <c r="H35" s="16"/>
      <c r="I35" s="39"/>
      <c r="J35" s="18"/>
      <c r="K35" s="39"/>
      <c r="L35" s="18"/>
      <c r="M35" s="39"/>
      <c r="N35" s="18"/>
      <c r="O35" s="39"/>
      <c r="P35" s="18"/>
      <c r="Q35" s="39"/>
      <c r="R35" s="18"/>
      <c r="S35" s="39"/>
      <c r="T35" s="18"/>
      <c r="U35" s="39"/>
      <c r="V35" s="18"/>
    </row>
    <row r="36" spans="2:22" s="2" customFormat="1" ht="12.75" thickBot="1" x14ac:dyDescent="0.25">
      <c r="B36" s="7" t="s">
        <v>4</v>
      </c>
      <c r="C36" s="40">
        <f t="shared" ref="C36:R36" si="7">+C34+C20</f>
        <v>7033641</v>
      </c>
      <c r="D36" s="20">
        <f t="shared" si="7"/>
        <v>5944949</v>
      </c>
      <c r="E36" s="40">
        <f t="shared" si="7"/>
        <v>4118463</v>
      </c>
      <c r="F36" s="19">
        <f t="shared" si="7"/>
        <v>5578144</v>
      </c>
      <c r="G36" s="40">
        <f t="shared" si="7"/>
        <v>7246277</v>
      </c>
      <c r="H36" s="19">
        <f t="shared" si="7"/>
        <v>10952766</v>
      </c>
      <c r="I36" s="40">
        <f t="shared" si="7"/>
        <v>11554926</v>
      </c>
      <c r="J36" s="20">
        <f t="shared" si="7"/>
        <v>14035540</v>
      </c>
      <c r="K36" s="40">
        <f t="shared" si="7"/>
        <v>13479624</v>
      </c>
      <c r="L36" s="20">
        <f t="shared" si="7"/>
        <v>19875039</v>
      </c>
      <c r="M36" s="40">
        <f t="shared" si="7"/>
        <v>24052301</v>
      </c>
      <c r="N36" s="20">
        <f t="shared" si="7"/>
        <v>28887182</v>
      </c>
      <c r="O36" s="40">
        <f t="shared" si="7"/>
        <v>35731019</v>
      </c>
      <c r="P36" s="20">
        <f t="shared" si="7"/>
        <v>42672836</v>
      </c>
      <c r="Q36" s="40">
        <f t="shared" si="7"/>
        <v>51141353</v>
      </c>
      <c r="R36" s="20">
        <f t="shared" si="7"/>
        <v>56785756</v>
      </c>
      <c r="S36" s="40">
        <f t="shared" ref="S36:T36" si="8">+S34+S20</f>
        <v>49721645</v>
      </c>
      <c r="T36" s="20">
        <f t="shared" si="8"/>
        <v>58762478</v>
      </c>
      <c r="U36" s="40">
        <f t="shared" ref="U36:V36" si="9">+U34+U20</f>
        <v>57233855</v>
      </c>
      <c r="V36" s="20">
        <f t="shared" si="9"/>
        <v>60250525.508330002</v>
      </c>
    </row>
    <row r="37" spans="2:22" ht="12.75" thickTop="1" x14ac:dyDescent="0.2">
      <c r="C37" s="48"/>
      <c r="D37" s="49"/>
      <c r="E37" s="48"/>
      <c r="F37" s="47"/>
      <c r="G37" s="48"/>
      <c r="H37" s="47"/>
      <c r="I37" s="48"/>
      <c r="J37" s="49"/>
      <c r="K37" s="48"/>
      <c r="L37" s="49"/>
      <c r="M37" s="48"/>
      <c r="N37" s="49"/>
      <c r="O37" s="48"/>
      <c r="P37" s="49"/>
      <c r="Q37" s="48"/>
      <c r="R37" s="49"/>
      <c r="S37" s="48"/>
      <c r="T37" s="49"/>
      <c r="U37" s="48"/>
      <c r="V37" s="49"/>
    </row>
    <row r="38" spans="2:22" x14ac:dyDescent="0.2">
      <c r="B38" s="1" t="s">
        <v>100</v>
      </c>
      <c r="C38" s="48">
        <v>7953765</v>
      </c>
      <c r="D38" s="49">
        <f>7953765</f>
        <v>7953765</v>
      </c>
      <c r="E38" s="48">
        <f>7953765</f>
        <v>7953765</v>
      </c>
      <c r="F38" s="47">
        <f>8787665</f>
        <v>8787665</v>
      </c>
      <c r="G38" s="48">
        <v>8787665</v>
      </c>
      <c r="H38" s="47">
        <f>8787665</f>
        <v>8787665</v>
      </c>
      <c r="I38" s="48">
        <v>8787665</v>
      </c>
      <c r="J38" s="49">
        <f>8787665</f>
        <v>8787665</v>
      </c>
      <c r="K38" s="48">
        <v>8787665</v>
      </c>
      <c r="L38" s="49">
        <v>8787665</v>
      </c>
      <c r="M38" s="48">
        <v>8787665</v>
      </c>
      <c r="N38" s="49">
        <v>8787665</v>
      </c>
      <c r="O38" s="48">
        <v>8787665</v>
      </c>
      <c r="P38" s="49">
        <v>8787665</v>
      </c>
      <c r="Q38" s="48">
        <v>8787665</v>
      </c>
      <c r="R38" s="49">
        <v>8787665</v>
      </c>
      <c r="S38" s="48">
        <v>8787665</v>
      </c>
      <c r="T38" s="49">
        <v>8787665</v>
      </c>
      <c r="U38" s="48">
        <v>8787665</v>
      </c>
      <c r="V38" s="49">
        <v>8787665</v>
      </c>
    </row>
    <row r="39" spans="2:22" x14ac:dyDescent="0.2">
      <c r="B39" s="1" t="s">
        <v>101</v>
      </c>
      <c r="C39" s="48">
        <f>654035</f>
        <v>654035</v>
      </c>
      <c r="D39" s="49">
        <f>654035</f>
        <v>654035</v>
      </c>
      <c r="E39" s="48">
        <f>654035</f>
        <v>654035</v>
      </c>
      <c r="F39" s="47">
        <f>791232</f>
        <v>791232</v>
      </c>
      <c r="G39" s="48">
        <v>791232</v>
      </c>
      <c r="H39" s="47">
        <f>791232</f>
        <v>791232</v>
      </c>
      <c r="I39" s="48">
        <v>14866</v>
      </c>
      <c r="J39" s="49">
        <f>14866</f>
        <v>14866</v>
      </c>
      <c r="K39" s="48">
        <v>14866</v>
      </c>
      <c r="L39" s="49">
        <v>14866</v>
      </c>
      <c r="M39" s="48">
        <v>14866</v>
      </c>
      <c r="N39" s="49">
        <v>14866</v>
      </c>
      <c r="O39" s="48">
        <v>14866</v>
      </c>
      <c r="P39" s="49">
        <v>14866</v>
      </c>
      <c r="Q39" s="48">
        <v>14866</v>
      </c>
      <c r="R39" s="49">
        <v>14866</v>
      </c>
      <c r="S39" s="48">
        <v>14866</v>
      </c>
      <c r="T39" s="49">
        <v>14866</v>
      </c>
      <c r="U39" s="48">
        <v>14866</v>
      </c>
      <c r="V39" s="49">
        <v>14866</v>
      </c>
    </row>
    <row r="40" spans="2:22" x14ac:dyDescent="0.2">
      <c r="B40" s="1" t="s">
        <v>129</v>
      </c>
      <c r="C40" s="48">
        <v>0</v>
      </c>
      <c r="D40" s="49">
        <v>0</v>
      </c>
      <c r="E40" s="48">
        <v>0</v>
      </c>
      <c r="F40" s="47">
        <v>0</v>
      </c>
      <c r="G40" s="48">
        <v>0</v>
      </c>
      <c r="H40" s="47">
        <v>0</v>
      </c>
      <c r="I40" s="48">
        <v>0</v>
      </c>
      <c r="J40" s="49">
        <v>0</v>
      </c>
      <c r="K40" s="48">
        <v>0</v>
      </c>
      <c r="L40" s="49">
        <v>0</v>
      </c>
      <c r="M40" s="48">
        <v>185914</v>
      </c>
      <c r="N40" s="49">
        <v>264214</v>
      </c>
      <c r="O40" s="48">
        <v>605467</v>
      </c>
      <c r="P40" s="49">
        <v>534700</v>
      </c>
      <c r="Q40" s="48">
        <v>534700</v>
      </c>
      <c r="R40" s="49">
        <v>1126337</v>
      </c>
      <c r="S40" s="48">
        <v>1126337</v>
      </c>
      <c r="T40" s="49">
        <v>1126337</v>
      </c>
      <c r="U40" s="48">
        <v>1126337</v>
      </c>
      <c r="V40" s="49">
        <v>1126337</v>
      </c>
    </row>
    <row r="41" spans="2:22" x14ac:dyDescent="0.2">
      <c r="B41" s="1" t="s">
        <v>102</v>
      </c>
      <c r="C41" s="48">
        <v>-4737058</v>
      </c>
      <c r="D41" s="49">
        <v>-6241074</v>
      </c>
      <c r="E41" s="48">
        <v>-6183418</v>
      </c>
      <c r="F41" s="47">
        <f>+-5864822</f>
        <v>-5864822</v>
      </c>
      <c r="G41" s="48">
        <v>-5711047</v>
      </c>
      <c r="H41" s="47">
        <f>-3534702</f>
        <v>-3534702</v>
      </c>
      <c r="I41" s="48">
        <v>-1767170</v>
      </c>
      <c r="J41" s="49">
        <f>527408</f>
        <v>527408</v>
      </c>
      <c r="K41" s="48">
        <v>125843</v>
      </c>
      <c r="L41" s="49">
        <v>3258377</v>
      </c>
      <c r="M41" s="48">
        <v>4259296</v>
      </c>
      <c r="N41" s="49">
        <v>10094154</v>
      </c>
      <c r="O41" s="48">
        <v>17682176</v>
      </c>
      <c r="P41" s="49">
        <v>18726211</v>
      </c>
      <c r="Q41" s="48">
        <v>26501157</v>
      </c>
      <c r="R41" s="49">
        <v>30293171</v>
      </c>
      <c r="S41" s="48">
        <v>27132034</v>
      </c>
      <c r="T41" s="49">
        <v>33707401</v>
      </c>
      <c r="U41" s="48">
        <v>25377496</v>
      </c>
      <c r="V41" s="49">
        <v>30603399</v>
      </c>
    </row>
    <row r="42" spans="2:22" x14ac:dyDescent="0.2">
      <c r="B42" s="1" t="s">
        <v>116</v>
      </c>
      <c r="C42" s="48">
        <v>0</v>
      </c>
      <c r="D42" s="49">
        <v>0</v>
      </c>
      <c r="E42" s="48">
        <v>0</v>
      </c>
      <c r="F42" s="47">
        <v>-265</v>
      </c>
      <c r="G42" s="48">
        <v>19542</v>
      </c>
      <c r="H42" s="47">
        <v>40056</v>
      </c>
      <c r="I42" s="48">
        <v>-5566</v>
      </c>
      <c r="J42" s="49">
        <f>-37599</f>
        <v>-37599</v>
      </c>
      <c r="K42" s="48">
        <v>4437</v>
      </c>
      <c r="L42" s="49">
        <v>188232</v>
      </c>
      <c r="M42" s="48">
        <v>115100</v>
      </c>
      <c r="N42" s="49">
        <v>113975</v>
      </c>
      <c r="O42" s="48">
        <v>-532793</v>
      </c>
      <c r="P42" s="49">
        <v>0</v>
      </c>
      <c r="Q42" s="48">
        <v>0</v>
      </c>
      <c r="R42" s="49">
        <v>0</v>
      </c>
      <c r="S42" s="48">
        <v>0</v>
      </c>
      <c r="T42" s="49">
        <v>0</v>
      </c>
      <c r="U42" s="48">
        <v>0</v>
      </c>
      <c r="V42" s="49">
        <v>0</v>
      </c>
    </row>
    <row r="43" spans="2:22" x14ac:dyDescent="0.2">
      <c r="B43" s="1" t="s">
        <v>471</v>
      </c>
      <c r="C43" s="48">
        <v>0</v>
      </c>
      <c r="D43" s="49">
        <v>0</v>
      </c>
      <c r="E43" s="48">
        <v>0</v>
      </c>
      <c r="F43" s="47">
        <v>0</v>
      </c>
      <c r="G43" s="48">
        <v>0</v>
      </c>
      <c r="H43" s="47">
        <v>0</v>
      </c>
      <c r="I43" s="48">
        <v>0</v>
      </c>
      <c r="J43" s="49">
        <v>0</v>
      </c>
      <c r="K43" s="48">
        <v>0</v>
      </c>
      <c r="L43" s="49">
        <v>0</v>
      </c>
      <c r="M43" s="48">
        <v>0</v>
      </c>
      <c r="N43" s="49">
        <v>0</v>
      </c>
      <c r="O43" s="48">
        <v>0</v>
      </c>
      <c r="P43" s="49">
        <v>0</v>
      </c>
      <c r="Q43" s="48">
        <v>0</v>
      </c>
      <c r="R43" s="49">
        <v>0</v>
      </c>
      <c r="S43" s="48">
        <v>0</v>
      </c>
      <c r="T43" s="49">
        <v>101917</v>
      </c>
      <c r="U43" s="48">
        <v>182300</v>
      </c>
      <c r="V43" s="49">
        <v>211614</v>
      </c>
    </row>
    <row r="44" spans="2:22" x14ac:dyDescent="0.2">
      <c r="B44" s="1" t="s">
        <v>115</v>
      </c>
      <c r="C44" s="48">
        <v>0</v>
      </c>
      <c r="D44" s="49">
        <v>0</v>
      </c>
      <c r="E44" s="48">
        <v>0</v>
      </c>
      <c r="F44" s="47">
        <v>-199962</v>
      </c>
      <c r="G44" s="48">
        <v>-199962</v>
      </c>
      <c r="H44" s="47">
        <v>-81397</v>
      </c>
      <c r="I44" s="48">
        <v>-110419</v>
      </c>
      <c r="J44" s="49">
        <v>-227679</v>
      </c>
      <c r="K44" s="48">
        <v>-363125</v>
      </c>
      <c r="L44" s="49">
        <v>-463123</v>
      </c>
      <c r="M44" s="48">
        <v>-365169</v>
      </c>
      <c r="N44" s="49">
        <v>-567636</v>
      </c>
      <c r="O44" s="48">
        <v>-632453</v>
      </c>
      <c r="P44" s="49">
        <v>-788975</v>
      </c>
      <c r="Q44" s="48">
        <v>-798221</v>
      </c>
      <c r="R44" s="49">
        <v>-520532</v>
      </c>
      <c r="S44" s="48">
        <v>-565133</v>
      </c>
      <c r="T44" s="49">
        <v>-972080</v>
      </c>
      <c r="U44" s="48">
        <v>-972080</v>
      </c>
      <c r="V44" s="49">
        <v>-1122139</v>
      </c>
    </row>
    <row r="45" spans="2:22" x14ac:dyDescent="0.2">
      <c r="B45" s="1" t="s">
        <v>186</v>
      </c>
      <c r="C45" s="48">
        <v>-5187469</v>
      </c>
      <c r="D45" s="49">
        <v>0</v>
      </c>
      <c r="E45" s="48">
        <v>0</v>
      </c>
      <c r="F45" s="47">
        <v>0</v>
      </c>
      <c r="G45" s="48">
        <v>0</v>
      </c>
      <c r="H45" s="47">
        <v>0</v>
      </c>
      <c r="I45" s="48">
        <v>0</v>
      </c>
      <c r="J45" s="49">
        <v>0</v>
      </c>
      <c r="K45" s="48">
        <v>0</v>
      </c>
      <c r="L45" s="49">
        <v>0</v>
      </c>
      <c r="M45" s="48">
        <v>0</v>
      </c>
      <c r="N45" s="49">
        <v>0</v>
      </c>
      <c r="O45" s="48">
        <v>0</v>
      </c>
      <c r="P45" s="49">
        <v>0</v>
      </c>
      <c r="Q45" s="48">
        <v>0</v>
      </c>
      <c r="R45" s="49">
        <v>0</v>
      </c>
      <c r="S45" s="48">
        <v>0</v>
      </c>
      <c r="T45" s="49">
        <v>0</v>
      </c>
      <c r="U45" s="48">
        <v>0</v>
      </c>
      <c r="V45" s="49">
        <v>0</v>
      </c>
    </row>
    <row r="46" spans="2:22" x14ac:dyDescent="0.2">
      <c r="B46" s="6" t="s">
        <v>5</v>
      </c>
      <c r="C46" s="51">
        <f>+C38+C41+C44+C39+C42+C40+C43+C45</f>
        <v>-1316727</v>
      </c>
      <c r="D46" s="52">
        <f t="shared" ref="D46:S46" si="10">+D38+D41+D44+D39+D42+D40+D43</f>
        <v>2366726</v>
      </c>
      <c r="E46" s="51">
        <f t="shared" si="10"/>
        <v>2424382</v>
      </c>
      <c r="F46" s="53">
        <f t="shared" si="10"/>
        <v>3513848</v>
      </c>
      <c r="G46" s="51">
        <f t="shared" si="10"/>
        <v>3687430</v>
      </c>
      <c r="H46" s="53">
        <f t="shared" si="10"/>
        <v>6002854</v>
      </c>
      <c r="I46" s="51">
        <f t="shared" si="10"/>
        <v>6919376</v>
      </c>
      <c r="J46" s="52">
        <f t="shared" si="10"/>
        <v>9064661</v>
      </c>
      <c r="K46" s="51">
        <f t="shared" si="10"/>
        <v>8569686</v>
      </c>
      <c r="L46" s="52">
        <f t="shared" si="10"/>
        <v>11786017</v>
      </c>
      <c r="M46" s="51">
        <f t="shared" si="10"/>
        <v>12997672</v>
      </c>
      <c r="N46" s="52">
        <f t="shared" si="10"/>
        <v>18707238</v>
      </c>
      <c r="O46" s="51">
        <f t="shared" si="10"/>
        <v>25924928</v>
      </c>
      <c r="P46" s="52">
        <f t="shared" si="10"/>
        <v>27274467</v>
      </c>
      <c r="Q46" s="51">
        <f t="shared" si="10"/>
        <v>35040167</v>
      </c>
      <c r="R46" s="52">
        <f t="shared" si="10"/>
        <v>39701507</v>
      </c>
      <c r="S46" s="51">
        <f t="shared" si="10"/>
        <v>36495769</v>
      </c>
      <c r="T46" s="52">
        <f>+T38+T41+T44+T39+T42+T40+T43</f>
        <v>42766106</v>
      </c>
      <c r="U46" s="51">
        <f t="shared" ref="U46" si="11">+U38+U41+U44+U39+U42+U40+U43</f>
        <v>34516584</v>
      </c>
      <c r="V46" s="52">
        <f>+V38+V41+V44+V39+V42+V40+V43</f>
        <v>39621742</v>
      </c>
    </row>
    <row r="47" spans="2:22" x14ac:dyDescent="0.2">
      <c r="C47" s="48"/>
      <c r="D47" s="49"/>
      <c r="E47" s="48"/>
      <c r="F47" s="47"/>
      <c r="G47" s="48"/>
      <c r="H47" s="47"/>
      <c r="I47" s="48"/>
      <c r="J47" s="49"/>
      <c r="K47" s="48"/>
      <c r="L47" s="49"/>
      <c r="M47" s="48"/>
      <c r="N47" s="49"/>
      <c r="O47" s="48"/>
      <c r="P47" s="49"/>
      <c r="Q47" s="48"/>
      <c r="R47" s="49"/>
      <c r="S47" s="48"/>
      <c r="T47" s="49"/>
      <c r="U47" s="48"/>
      <c r="V47" s="49"/>
    </row>
    <row r="48" spans="2:22" x14ac:dyDescent="0.2">
      <c r="B48" s="1" t="s">
        <v>187</v>
      </c>
      <c r="C48" s="48">
        <v>0</v>
      </c>
      <c r="D48" s="49">
        <v>346874</v>
      </c>
      <c r="E48" s="48">
        <v>126874</v>
      </c>
      <c r="F48" s="47">
        <v>1132891</v>
      </c>
      <c r="G48" s="48">
        <v>2842840</v>
      </c>
      <c r="H48" s="47">
        <v>3618001</v>
      </c>
      <c r="I48" s="48">
        <v>3204116</v>
      </c>
      <c r="J48" s="49">
        <v>1933576</v>
      </c>
      <c r="K48" s="48">
        <v>1048349</v>
      </c>
      <c r="L48" s="49">
        <v>1548332</v>
      </c>
      <c r="M48" s="48">
        <v>5108731</v>
      </c>
      <c r="N48" s="49">
        <v>4776944</v>
      </c>
      <c r="O48" s="48">
        <v>5821615</v>
      </c>
      <c r="P48" s="49">
        <v>8778256</v>
      </c>
      <c r="Q48" s="48">
        <v>5940325</v>
      </c>
      <c r="R48" s="49">
        <v>3844719</v>
      </c>
      <c r="S48" s="48">
        <v>5968640</v>
      </c>
      <c r="T48" s="49">
        <v>11733698</v>
      </c>
      <c r="U48" s="48">
        <v>13159260</v>
      </c>
      <c r="V48" s="49">
        <v>15793078</v>
      </c>
    </row>
    <row r="49" spans="2:22" x14ac:dyDescent="0.2">
      <c r="B49" s="1" t="s">
        <v>27</v>
      </c>
      <c r="C49" s="48">
        <v>0</v>
      </c>
      <c r="D49" s="49">
        <v>0</v>
      </c>
      <c r="E49" s="48">
        <v>0</v>
      </c>
      <c r="F49" s="47"/>
      <c r="G49" s="48">
        <v>0</v>
      </c>
      <c r="H49" s="47"/>
      <c r="I49" s="48">
        <v>15381</v>
      </c>
      <c r="J49" s="49">
        <v>64871</v>
      </c>
      <c r="K49" s="48">
        <v>85004</v>
      </c>
      <c r="L49" s="49">
        <v>75035</v>
      </c>
      <c r="M49" s="48">
        <v>104643</v>
      </c>
      <c r="N49" s="49">
        <v>101821</v>
      </c>
      <c r="O49" s="48">
        <v>171893</v>
      </c>
      <c r="P49" s="49">
        <v>256226</v>
      </c>
      <c r="Q49" s="48">
        <v>233158</v>
      </c>
      <c r="R49" s="49">
        <v>216490</v>
      </c>
      <c r="S49" s="48">
        <v>191396</v>
      </c>
      <c r="T49" s="49">
        <v>225691</v>
      </c>
      <c r="U49" s="48">
        <v>188764</v>
      </c>
      <c r="V49" s="49">
        <v>368185</v>
      </c>
    </row>
    <row r="50" spans="2:22" x14ac:dyDescent="0.2">
      <c r="B50" s="1" t="s">
        <v>28</v>
      </c>
      <c r="C50" s="48">
        <v>0</v>
      </c>
      <c r="D50" s="49">
        <v>0</v>
      </c>
      <c r="E50" s="48">
        <v>2067</v>
      </c>
      <c r="F50" s="47">
        <v>50949</v>
      </c>
      <c r="G50" s="48">
        <v>25385</v>
      </c>
      <c r="H50" s="47">
        <v>51029</v>
      </c>
      <c r="I50" s="48">
        <v>57717</v>
      </c>
      <c r="J50" s="49">
        <v>74727</v>
      </c>
      <c r="K50" s="48">
        <v>69860</v>
      </c>
      <c r="L50" s="49">
        <v>108964</v>
      </c>
      <c r="M50" s="48">
        <v>74492</v>
      </c>
      <c r="N50" s="49">
        <v>118889</v>
      </c>
      <c r="O50" s="48">
        <v>70114</v>
      </c>
      <c r="P50" s="49">
        <v>16196</v>
      </c>
      <c r="Q50" s="48">
        <v>31621</v>
      </c>
      <c r="R50" s="49">
        <v>69281</v>
      </c>
      <c r="S50" s="48">
        <v>52177</v>
      </c>
      <c r="T50" s="49">
        <v>81558</v>
      </c>
      <c r="U50" s="48">
        <v>51571</v>
      </c>
      <c r="V50" s="49">
        <v>57826</v>
      </c>
    </row>
    <row r="51" spans="2:22" x14ac:dyDescent="0.2">
      <c r="B51" s="1" t="s">
        <v>467</v>
      </c>
      <c r="C51" s="48">
        <v>0</v>
      </c>
      <c r="D51" s="49">
        <v>0</v>
      </c>
      <c r="E51" s="48">
        <v>0</v>
      </c>
      <c r="F51" s="47">
        <v>0</v>
      </c>
      <c r="G51" s="48">
        <v>0</v>
      </c>
      <c r="H51" s="47">
        <v>0</v>
      </c>
      <c r="I51" s="48">
        <v>0</v>
      </c>
      <c r="J51" s="49">
        <v>0</v>
      </c>
      <c r="K51" s="48">
        <v>0</v>
      </c>
      <c r="L51" s="49">
        <v>0</v>
      </c>
      <c r="M51" s="48">
        <v>0</v>
      </c>
      <c r="N51" s="49">
        <v>0</v>
      </c>
      <c r="O51" s="48">
        <v>0</v>
      </c>
      <c r="P51" s="49">
        <v>0</v>
      </c>
      <c r="Q51" s="48">
        <v>0</v>
      </c>
      <c r="R51" s="49">
        <v>0</v>
      </c>
      <c r="S51" s="48">
        <v>0</v>
      </c>
      <c r="T51" s="49">
        <v>15287</v>
      </c>
      <c r="U51" s="48">
        <v>27345</v>
      </c>
      <c r="V51" s="49">
        <v>31742</v>
      </c>
    </row>
    <row r="52" spans="2:22" x14ac:dyDescent="0.2">
      <c r="B52" s="1" t="s">
        <v>438</v>
      </c>
      <c r="C52" s="48">
        <v>0</v>
      </c>
      <c r="D52" s="49">
        <v>0</v>
      </c>
      <c r="E52" s="48">
        <v>0</v>
      </c>
      <c r="F52" s="47">
        <v>0</v>
      </c>
      <c r="G52" s="48">
        <v>0</v>
      </c>
      <c r="H52" s="47">
        <v>0</v>
      </c>
      <c r="I52" s="48">
        <v>0</v>
      </c>
      <c r="J52" s="49">
        <v>0</v>
      </c>
      <c r="K52" s="48">
        <v>0</v>
      </c>
      <c r="L52" s="49">
        <v>0</v>
      </c>
      <c r="M52" s="48">
        <v>0</v>
      </c>
      <c r="N52" s="49">
        <v>0</v>
      </c>
      <c r="O52" s="48">
        <v>0</v>
      </c>
      <c r="P52" s="49">
        <v>32808</v>
      </c>
      <c r="Q52" s="48">
        <v>43546</v>
      </c>
      <c r="R52" s="49">
        <v>43546</v>
      </c>
      <c r="S52" s="48">
        <v>41176</v>
      </c>
      <c r="T52" s="49">
        <v>40492</v>
      </c>
      <c r="U52" s="48">
        <v>38999</v>
      </c>
      <c r="V52" s="49">
        <v>37495</v>
      </c>
    </row>
    <row r="53" spans="2:22" x14ac:dyDescent="0.2">
      <c r="B53" s="6" t="s">
        <v>93</v>
      </c>
      <c r="C53" s="51">
        <f t="shared" ref="C53:S53" si="12">+C50+C48+C49+C52+C51</f>
        <v>0</v>
      </c>
      <c r="D53" s="52">
        <f t="shared" si="12"/>
        <v>346874</v>
      </c>
      <c r="E53" s="51">
        <f t="shared" si="12"/>
        <v>128941</v>
      </c>
      <c r="F53" s="53">
        <f t="shared" si="12"/>
        <v>1183840</v>
      </c>
      <c r="G53" s="51">
        <f t="shared" si="12"/>
        <v>2868225</v>
      </c>
      <c r="H53" s="53">
        <f t="shared" si="12"/>
        <v>3669030</v>
      </c>
      <c r="I53" s="51">
        <f t="shared" si="12"/>
        <v>3277214</v>
      </c>
      <c r="J53" s="52">
        <f t="shared" si="12"/>
        <v>2073174</v>
      </c>
      <c r="K53" s="51">
        <f t="shared" si="12"/>
        <v>1203213</v>
      </c>
      <c r="L53" s="52">
        <f t="shared" si="12"/>
        <v>1732331</v>
      </c>
      <c r="M53" s="51">
        <f t="shared" si="12"/>
        <v>5287866</v>
      </c>
      <c r="N53" s="52">
        <f t="shared" si="12"/>
        <v>4997654</v>
      </c>
      <c r="O53" s="51">
        <f t="shared" si="12"/>
        <v>6063622</v>
      </c>
      <c r="P53" s="52">
        <f t="shared" si="12"/>
        <v>9083486</v>
      </c>
      <c r="Q53" s="51">
        <f t="shared" si="12"/>
        <v>6248650</v>
      </c>
      <c r="R53" s="52">
        <f t="shared" si="12"/>
        <v>4174036</v>
      </c>
      <c r="S53" s="51">
        <f t="shared" si="12"/>
        <v>6253389</v>
      </c>
      <c r="T53" s="52">
        <f>+T50+T48+T49+T52+T51</f>
        <v>12096726</v>
      </c>
      <c r="U53" s="51">
        <f t="shared" ref="U53" si="13">+U50+U48+U49+U52+U51</f>
        <v>13465939</v>
      </c>
      <c r="V53" s="52">
        <f>+V50+V48+V49+V52+V51</f>
        <v>16288326</v>
      </c>
    </row>
    <row r="54" spans="2:22" x14ac:dyDescent="0.2">
      <c r="C54" s="48"/>
      <c r="D54" s="49"/>
      <c r="E54" s="48"/>
      <c r="F54" s="47"/>
      <c r="G54" s="48"/>
      <c r="H54" s="47"/>
      <c r="I54" s="48"/>
      <c r="J54" s="49"/>
      <c r="K54" s="48"/>
      <c r="L54" s="49"/>
      <c r="M54" s="48"/>
      <c r="N54" s="49"/>
      <c r="O54" s="48"/>
      <c r="P54" s="49"/>
      <c r="Q54" s="48"/>
      <c r="R54" s="49"/>
      <c r="S54" s="48"/>
      <c r="T54" s="49"/>
      <c r="U54" s="48"/>
      <c r="V54" s="49"/>
    </row>
    <row r="55" spans="2:22" x14ac:dyDescent="0.2">
      <c r="B55" s="1" t="s">
        <v>23</v>
      </c>
      <c r="C55" s="48">
        <v>5295106</v>
      </c>
      <c r="D55" s="49">
        <v>2853126</v>
      </c>
      <c r="E55" s="48">
        <v>1270613</v>
      </c>
      <c r="F55" s="47">
        <v>703666</v>
      </c>
      <c r="G55" s="48">
        <v>430000</v>
      </c>
      <c r="H55" s="47">
        <v>684167</v>
      </c>
      <c r="I55" s="48">
        <v>1005556</v>
      </c>
      <c r="J55" s="49">
        <v>2190389</v>
      </c>
      <c r="K55" s="48">
        <v>3285539</v>
      </c>
      <c r="L55" s="49">
        <v>5174041</v>
      </c>
      <c r="M55" s="48">
        <v>4089716</v>
      </c>
      <c r="N55" s="49">
        <v>3529187</v>
      </c>
      <c r="O55" s="48">
        <v>1743423</v>
      </c>
      <c r="P55" s="49">
        <v>4945378</v>
      </c>
      <c r="Q55" s="48">
        <v>7786401</v>
      </c>
      <c r="R55" s="49">
        <v>10637931</v>
      </c>
      <c r="S55" s="48">
        <v>3210478</v>
      </c>
      <c r="T55" s="49">
        <v>2387118</v>
      </c>
      <c r="U55" s="48">
        <v>6825500</v>
      </c>
      <c r="V55" s="49">
        <v>1342134</v>
      </c>
    </row>
    <row r="56" spans="2:22" x14ac:dyDescent="0.2">
      <c r="B56" s="1" t="s">
        <v>24</v>
      </c>
      <c r="C56" s="48">
        <v>0</v>
      </c>
      <c r="D56" s="49">
        <v>0</v>
      </c>
      <c r="E56" s="48">
        <v>0</v>
      </c>
      <c r="F56" s="47">
        <v>0</v>
      </c>
      <c r="G56" s="48">
        <v>0</v>
      </c>
      <c r="H56" s="47">
        <v>0</v>
      </c>
      <c r="I56" s="48">
        <v>9117</v>
      </c>
      <c r="J56" s="49">
        <v>19117</v>
      </c>
      <c r="K56" s="48">
        <v>22956</v>
      </c>
      <c r="L56" s="49">
        <v>32181</v>
      </c>
      <c r="M56" s="48">
        <v>27960</v>
      </c>
      <c r="N56" s="49">
        <v>29891</v>
      </c>
      <c r="O56" s="48">
        <v>48746</v>
      </c>
      <c r="P56" s="49">
        <v>48437</v>
      </c>
      <c r="Q56" s="48">
        <v>51771</v>
      </c>
      <c r="R56" s="49">
        <v>50047</v>
      </c>
      <c r="S56" s="48">
        <v>38495</v>
      </c>
      <c r="T56" s="49">
        <v>63453</v>
      </c>
      <c r="U56" s="48">
        <v>69249</v>
      </c>
      <c r="V56" s="49">
        <v>99755</v>
      </c>
    </row>
    <row r="57" spans="2:22" x14ac:dyDescent="0.2">
      <c r="B57" s="1" t="s">
        <v>25</v>
      </c>
      <c r="C57" s="48">
        <v>102906</v>
      </c>
      <c r="D57" s="49">
        <v>77352</v>
      </c>
      <c r="E57" s="48">
        <v>78852</v>
      </c>
      <c r="F57" s="47">
        <v>62728</v>
      </c>
      <c r="G57" s="48">
        <v>194088</v>
      </c>
      <c r="H57" s="47">
        <v>279787</v>
      </c>
      <c r="I57" s="48">
        <v>198294</v>
      </c>
      <c r="J57" s="49">
        <v>255294</v>
      </c>
      <c r="K57" s="48">
        <v>241856</v>
      </c>
      <c r="L57" s="49">
        <v>439296</v>
      </c>
      <c r="M57" s="48">
        <v>567823</v>
      </c>
      <c r="N57" s="49">
        <v>520892</v>
      </c>
      <c r="O57" s="48">
        <v>153768</v>
      </c>
      <c r="P57" s="49">
        <v>353306</v>
      </c>
      <c r="Q57" s="48">
        <v>246198</v>
      </c>
      <c r="R57" s="49">
        <v>435715</v>
      </c>
      <c r="S57" s="48">
        <v>636052</v>
      </c>
      <c r="T57" s="49">
        <v>636138</v>
      </c>
      <c r="U57" s="48">
        <v>1029161</v>
      </c>
      <c r="V57" s="49">
        <v>1593123</v>
      </c>
    </row>
    <row r="58" spans="2:22" x14ac:dyDescent="0.2">
      <c r="B58" s="1" t="s">
        <v>145</v>
      </c>
      <c r="C58" s="48">
        <v>0</v>
      </c>
      <c r="D58" s="49">
        <v>0</v>
      </c>
      <c r="E58" s="48">
        <v>0</v>
      </c>
      <c r="F58" s="47">
        <v>0</v>
      </c>
      <c r="G58" s="48">
        <v>0</v>
      </c>
      <c r="H58" s="47">
        <v>0</v>
      </c>
      <c r="I58" s="48">
        <v>0</v>
      </c>
      <c r="J58" s="49">
        <v>0</v>
      </c>
      <c r="K58" s="48">
        <v>0</v>
      </c>
      <c r="L58" s="49">
        <v>315086</v>
      </c>
      <c r="M58" s="48">
        <v>0</v>
      </c>
      <c r="N58" s="49">
        <v>0</v>
      </c>
      <c r="O58" s="48">
        <v>0</v>
      </c>
      <c r="P58" s="49">
        <v>0</v>
      </c>
      <c r="Q58" s="48">
        <v>0</v>
      </c>
      <c r="R58" s="49">
        <v>0</v>
      </c>
      <c r="S58" s="48">
        <v>0</v>
      </c>
      <c r="T58" s="49">
        <v>0</v>
      </c>
      <c r="U58" s="48">
        <v>0</v>
      </c>
      <c r="V58" s="49">
        <v>0</v>
      </c>
    </row>
    <row r="59" spans="2:22" x14ac:dyDescent="0.2">
      <c r="B59" s="1" t="s">
        <v>141</v>
      </c>
      <c r="C59" s="48">
        <v>96898</v>
      </c>
      <c r="D59" s="49">
        <v>56266</v>
      </c>
      <c r="E59" s="48">
        <v>28516</v>
      </c>
      <c r="F59" s="47">
        <v>66432</v>
      </c>
      <c r="G59" s="48">
        <v>38415</v>
      </c>
      <c r="H59" s="47">
        <v>89840</v>
      </c>
      <c r="I59" s="48">
        <v>90985</v>
      </c>
      <c r="J59" s="49">
        <v>126727</v>
      </c>
      <c r="K59" s="48">
        <v>70798</v>
      </c>
      <c r="L59" s="49">
        <v>163635</v>
      </c>
      <c r="M59" s="48">
        <f>137247</f>
        <v>137247</v>
      </c>
      <c r="N59" s="49">
        <v>219436</v>
      </c>
      <c r="O59" s="48">
        <v>259041</v>
      </c>
      <c r="P59" s="49">
        <v>251655</v>
      </c>
      <c r="Q59" s="48">
        <v>351530</v>
      </c>
      <c r="R59" s="49">
        <v>315668</v>
      </c>
      <c r="S59" s="48">
        <v>511650</v>
      </c>
      <c r="T59" s="49">
        <v>419510</v>
      </c>
      <c r="U59" s="48">
        <v>267778</v>
      </c>
      <c r="V59" s="49">
        <v>314592</v>
      </c>
    </row>
    <row r="60" spans="2:22" x14ac:dyDescent="0.2">
      <c r="B60" s="1" t="s">
        <v>189</v>
      </c>
      <c r="C60" s="48">
        <v>0</v>
      </c>
      <c r="D60" s="49">
        <v>0</v>
      </c>
      <c r="E60" s="48">
        <v>0</v>
      </c>
      <c r="F60" s="47">
        <v>0</v>
      </c>
      <c r="G60" s="48">
        <v>0</v>
      </c>
      <c r="H60" s="47">
        <v>0</v>
      </c>
      <c r="I60" s="48">
        <v>0</v>
      </c>
      <c r="J60" s="49">
        <v>0</v>
      </c>
      <c r="K60" s="48">
        <v>0</v>
      </c>
      <c r="L60" s="49">
        <v>0</v>
      </c>
      <c r="M60" s="48">
        <v>777152</v>
      </c>
      <c r="N60" s="49">
        <v>0</v>
      </c>
      <c r="O60" s="48">
        <v>692533</v>
      </c>
      <c r="P60" s="49">
        <v>0</v>
      </c>
      <c r="Q60" s="48">
        <v>863474</v>
      </c>
      <c r="R60" s="49">
        <v>0</v>
      </c>
      <c r="S60" s="48">
        <v>1745236</v>
      </c>
      <c r="T60" s="49">
        <v>0</v>
      </c>
      <c r="U60" s="48">
        <v>866018</v>
      </c>
      <c r="V60" s="49"/>
    </row>
    <row r="61" spans="2:22" x14ac:dyDescent="0.2">
      <c r="B61" s="1" t="s">
        <v>103</v>
      </c>
      <c r="C61" s="48">
        <v>692</v>
      </c>
      <c r="D61" s="49">
        <v>3707</v>
      </c>
      <c r="E61" s="48">
        <v>573</v>
      </c>
      <c r="F61" s="47">
        <v>1326</v>
      </c>
      <c r="G61" s="48">
        <v>132</v>
      </c>
      <c r="H61" s="47">
        <v>35709</v>
      </c>
      <c r="I61" s="48">
        <v>6958</v>
      </c>
      <c r="J61" s="49">
        <v>70170</v>
      </c>
      <c r="K61" s="48">
        <v>27112</v>
      </c>
      <c r="L61" s="49">
        <v>69105</v>
      </c>
      <c r="M61" s="48">
        <v>21874</v>
      </c>
      <c r="N61" s="49">
        <v>98245</v>
      </c>
      <c r="O61" s="48">
        <v>40395</v>
      </c>
      <c r="P61" s="49">
        <v>68837</v>
      </c>
      <c r="Q61" s="48">
        <v>79801</v>
      </c>
      <c r="R61" s="49">
        <v>129009</v>
      </c>
      <c r="S61" s="48">
        <v>55503</v>
      </c>
      <c r="T61" s="49">
        <v>62297</v>
      </c>
      <c r="U61" s="48">
        <v>18715</v>
      </c>
      <c r="V61" s="49">
        <v>27918</v>
      </c>
    </row>
    <row r="62" spans="2:22" x14ac:dyDescent="0.2">
      <c r="B62" s="1" t="s">
        <v>144</v>
      </c>
      <c r="C62" s="48">
        <v>14080</v>
      </c>
      <c r="D62" s="49">
        <v>240898</v>
      </c>
      <c r="E62" s="48">
        <v>186586</v>
      </c>
      <c r="F62" s="47">
        <v>46304</v>
      </c>
      <c r="G62" s="48">
        <v>27987</v>
      </c>
      <c r="H62" s="47">
        <v>191379</v>
      </c>
      <c r="I62" s="48">
        <f>10130+37296</f>
        <v>47426</v>
      </c>
      <c r="J62" s="49">
        <v>236008</v>
      </c>
      <c r="K62" s="48">
        <f>33070+25394</f>
        <v>58464</v>
      </c>
      <c r="L62" s="49">
        <v>163347</v>
      </c>
      <c r="M62" s="48">
        <f>78881+66110</f>
        <v>144991</v>
      </c>
      <c r="N62" s="49">
        <f>772771+11868</f>
        <v>784639</v>
      </c>
      <c r="O62" s="48">
        <f>775098+29465</f>
        <v>804563</v>
      </c>
      <c r="P62" s="49">
        <f>389809+1</f>
        <v>389810</v>
      </c>
      <c r="Q62" s="48">
        <f>473165+196</f>
        <v>473361</v>
      </c>
      <c r="R62" s="49">
        <f>77957+860426</f>
        <v>938383</v>
      </c>
      <c r="S62" s="48">
        <f>123+773594</f>
        <v>773717</v>
      </c>
      <c r="T62" s="49">
        <f>9637+320137</f>
        <v>329774</v>
      </c>
      <c r="U62" s="48">
        <f>1050+172505</f>
        <v>173555</v>
      </c>
      <c r="V62" s="49">
        <f>961575+5</f>
        <v>961580</v>
      </c>
    </row>
    <row r="63" spans="2:22" x14ac:dyDescent="0.2">
      <c r="B63" s="1" t="s">
        <v>445</v>
      </c>
      <c r="C63" s="48">
        <v>0</v>
      </c>
      <c r="D63" s="49">
        <v>0</v>
      </c>
      <c r="E63" s="48">
        <v>0</v>
      </c>
      <c r="F63" s="47">
        <v>0</v>
      </c>
      <c r="G63" s="48">
        <v>0</v>
      </c>
      <c r="H63" s="47">
        <v>0</v>
      </c>
      <c r="I63" s="48">
        <v>0</v>
      </c>
      <c r="J63" s="49">
        <v>0</v>
      </c>
      <c r="K63" s="48">
        <v>0</v>
      </c>
      <c r="L63" s="49">
        <v>0</v>
      </c>
      <c r="M63" s="48">
        <v>0</v>
      </c>
      <c r="N63" s="49">
        <v>0</v>
      </c>
      <c r="O63" s="48">
        <v>0</v>
      </c>
      <c r="P63" s="49">
        <v>257460</v>
      </c>
      <c r="Q63" s="48">
        <v>0</v>
      </c>
      <c r="R63" s="49">
        <v>403460</v>
      </c>
      <c r="S63" s="48">
        <v>0</v>
      </c>
      <c r="T63" s="49">
        <v>0</v>
      </c>
      <c r="U63" s="48">
        <v>0</v>
      </c>
      <c r="V63" s="49"/>
    </row>
    <row r="64" spans="2:22" x14ac:dyDescent="0.2">
      <c r="B64" s="1" t="s">
        <v>438</v>
      </c>
      <c r="C64" s="48">
        <v>0</v>
      </c>
      <c r="D64" s="49">
        <v>0</v>
      </c>
      <c r="E64" s="48">
        <v>0</v>
      </c>
      <c r="F64" s="47">
        <v>0</v>
      </c>
      <c r="G64" s="48">
        <v>0</v>
      </c>
      <c r="H64" s="47">
        <v>0</v>
      </c>
      <c r="I64" s="48">
        <v>0</v>
      </c>
      <c r="J64" s="49">
        <v>0</v>
      </c>
      <c r="K64" s="48">
        <v>0</v>
      </c>
      <c r="L64" s="49">
        <v>0</v>
      </c>
      <c r="M64" s="48">
        <v>0</v>
      </c>
      <c r="N64" s="49">
        <v>0</v>
      </c>
      <c r="O64" s="48">
        <v>0</v>
      </c>
      <c r="P64" s="49">
        <v>0</v>
      </c>
      <c r="Q64" s="48">
        <v>0</v>
      </c>
      <c r="R64" s="49">
        <v>0</v>
      </c>
      <c r="S64" s="48">
        <v>1356</v>
      </c>
      <c r="T64" s="49">
        <v>1356</v>
      </c>
      <c r="U64" s="48">
        <v>1356</v>
      </c>
      <c r="V64" s="49">
        <v>1356</v>
      </c>
    </row>
    <row r="65" spans="2:22" x14ac:dyDescent="0.2">
      <c r="B65" s="1" t="s">
        <v>142</v>
      </c>
      <c r="C65" s="48">
        <v>2840686</v>
      </c>
      <c r="D65" s="49">
        <v>0</v>
      </c>
      <c r="E65" s="48">
        <v>0</v>
      </c>
      <c r="F65" s="47">
        <v>0</v>
      </c>
      <c r="G65" s="48">
        <v>0</v>
      </c>
      <c r="H65" s="47">
        <v>0</v>
      </c>
      <c r="I65" s="48">
        <v>0</v>
      </c>
      <c r="J65" s="49">
        <v>0</v>
      </c>
      <c r="K65" s="48">
        <v>0</v>
      </c>
      <c r="L65" s="49">
        <v>0</v>
      </c>
      <c r="M65" s="48">
        <v>0</v>
      </c>
      <c r="N65" s="49">
        <v>0</v>
      </c>
      <c r="O65" s="48">
        <v>0</v>
      </c>
      <c r="P65" s="49">
        <v>0</v>
      </c>
      <c r="Q65" s="48">
        <v>0</v>
      </c>
      <c r="R65" s="49">
        <v>0</v>
      </c>
      <c r="S65" s="48">
        <v>0</v>
      </c>
      <c r="T65" s="49">
        <v>0</v>
      </c>
      <c r="U65" s="48">
        <v>0</v>
      </c>
      <c r="V65" s="49"/>
    </row>
    <row r="66" spans="2:22" x14ac:dyDescent="0.2">
      <c r="B66" s="6" t="s">
        <v>92</v>
      </c>
      <c r="C66" s="51">
        <f t="shared" ref="C66:Q66" si="14">SUM(C55:C65)</f>
        <v>8350368</v>
      </c>
      <c r="D66" s="52">
        <f t="shared" si="14"/>
        <v>3231349</v>
      </c>
      <c r="E66" s="51">
        <f t="shared" si="14"/>
        <v>1565140</v>
      </c>
      <c r="F66" s="53">
        <f t="shared" si="14"/>
        <v>880456</v>
      </c>
      <c r="G66" s="51">
        <f t="shared" si="14"/>
        <v>690622</v>
      </c>
      <c r="H66" s="53">
        <f t="shared" si="14"/>
        <v>1280882</v>
      </c>
      <c r="I66" s="51">
        <f t="shared" si="14"/>
        <v>1358336</v>
      </c>
      <c r="J66" s="52">
        <f t="shared" si="14"/>
        <v>2897705</v>
      </c>
      <c r="K66" s="51">
        <f t="shared" si="14"/>
        <v>3706725</v>
      </c>
      <c r="L66" s="52">
        <f t="shared" si="14"/>
        <v>6356691</v>
      </c>
      <c r="M66" s="51">
        <f t="shared" si="14"/>
        <v>5766763</v>
      </c>
      <c r="N66" s="52">
        <f t="shared" si="14"/>
        <v>5182290</v>
      </c>
      <c r="O66" s="51">
        <f t="shared" si="14"/>
        <v>3742469</v>
      </c>
      <c r="P66" s="52">
        <f t="shared" si="14"/>
        <v>6314883</v>
      </c>
      <c r="Q66" s="51">
        <f t="shared" si="14"/>
        <v>9852536</v>
      </c>
      <c r="R66" s="52">
        <f>SUM(R55:R65)</f>
        <v>12910213</v>
      </c>
      <c r="S66" s="51">
        <f>SUM(S55:S65)</f>
        <v>6972487</v>
      </c>
      <c r="T66" s="52">
        <f>SUM(T55:T65)</f>
        <v>3899646</v>
      </c>
      <c r="U66" s="51">
        <f>SUM(U55:U65)</f>
        <v>9251332</v>
      </c>
      <c r="V66" s="52">
        <f>SUM(V55:V65)</f>
        <v>4340458</v>
      </c>
    </row>
    <row r="67" spans="2:22" x14ac:dyDescent="0.2">
      <c r="C67" s="48"/>
      <c r="D67" s="49"/>
      <c r="E67" s="48"/>
      <c r="F67" s="47"/>
      <c r="G67" s="48"/>
      <c r="H67" s="47"/>
      <c r="I67" s="48"/>
      <c r="J67" s="49"/>
      <c r="K67" s="48"/>
      <c r="L67" s="49"/>
      <c r="M67" s="48"/>
      <c r="N67" s="49"/>
      <c r="O67" s="48"/>
      <c r="P67" s="49"/>
      <c r="Q67" s="48"/>
      <c r="R67" s="49"/>
      <c r="S67" s="48"/>
      <c r="T67" s="49"/>
      <c r="U67" s="48"/>
      <c r="V67" s="49"/>
    </row>
    <row r="68" spans="2:22" x14ac:dyDescent="0.2">
      <c r="B68" s="2" t="s">
        <v>94</v>
      </c>
      <c r="C68" s="56">
        <f t="shared" ref="C68:N68" si="15">+C53+C66</f>
        <v>8350368</v>
      </c>
      <c r="D68" s="57">
        <f t="shared" si="15"/>
        <v>3578223</v>
      </c>
      <c r="E68" s="56">
        <f t="shared" si="15"/>
        <v>1694081</v>
      </c>
      <c r="F68" s="58">
        <f t="shared" si="15"/>
        <v>2064296</v>
      </c>
      <c r="G68" s="56">
        <f t="shared" si="15"/>
        <v>3558847</v>
      </c>
      <c r="H68" s="58">
        <f t="shared" si="15"/>
        <v>4949912</v>
      </c>
      <c r="I68" s="56">
        <f t="shared" si="15"/>
        <v>4635550</v>
      </c>
      <c r="J68" s="57">
        <f t="shared" si="15"/>
        <v>4970879</v>
      </c>
      <c r="K68" s="56">
        <f t="shared" si="15"/>
        <v>4909938</v>
      </c>
      <c r="L68" s="57">
        <f t="shared" si="15"/>
        <v>8089022</v>
      </c>
      <c r="M68" s="56">
        <f t="shared" si="15"/>
        <v>11054629</v>
      </c>
      <c r="N68" s="57">
        <f t="shared" si="15"/>
        <v>10179944</v>
      </c>
      <c r="O68" s="56">
        <f t="shared" ref="O68" si="16">+O53+O66</f>
        <v>9806091</v>
      </c>
      <c r="P68" s="57">
        <f t="shared" ref="P68:U68" si="17">+P53+P66</f>
        <v>15398369</v>
      </c>
      <c r="Q68" s="56">
        <f t="shared" si="17"/>
        <v>16101186</v>
      </c>
      <c r="R68" s="57">
        <f t="shared" si="17"/>
        <v>17084249</v>
      </c>
      <c r="S68" s="56">
        <f t="shared" si="17"/>
        <v>13225876</v>
      </c>
      <c r="T68" s="57">
        <f t="shared" si="17"/>
        <v>15996372</v>
      </c>
      <c r="U68" s="56">
        <f t="shared" si="17"/>
        <v>22717271</v>
      </c>
      <c r="V68" s="57">
        <f t="shared" ref="V68" si="18">+V53+V66</f>
        <v>20628784</v>
      </c>
    </row>
    <row r="69" spans="2:22" x14ac:dyDescent="0.2">
      <c r="C69" s="39"/>
      <c r="D69" s="18"/>
      <c r="E69" s="39"/>
      <c r="F69" s="16"/>
      <c r="G69" s="39"/>
      <c r="H69" s="16"/>
      <c r="I69" s="39"/>
      <c r="J69" s="18"/>
      <c r="K69" s="39"/>
      <c r="L69" s="18"/>
      <c r="M69" s="39"/>
      <c r="N69" s="18"/>
      <c r="O69" s="39"/>
      <c r="P69" s="18"/>
      <c r="Q69" s="39"/>
      <c r="R69" s="18"/>
      <c r="S69" s="39"/>
      <c r="T69" s="18"/>
      <c r="U69" s="39"/>
      <c r="V69" s="18"/>
    </row>
    <row r="70" spans="2:22" ht="12.75" thickBot="1" x14ac:dyDescent="0.25">
      <c r="B70" s="7" t="s">
        <v>95</v>
      </c>
      <c r="C70" s="40">
        <f t="shared" ref="C70:N70" si="19">+C68+C46</f>
        <v>7033641</v>
      </c>
      <c r="D70" s="20">
        <f t="shared" si="19"/>
        <v>5944949</v>
      </c>
      <c r="E70" s="40">
        <f t="shared" si="19"/>
        <v>4118463</v>
      </c>
      <c r="F70" s="19">
        <f t="shared" si="19"/>
        <v>5578144</v>
      </c>
      <c r="G70" s="40">
        <f t="shared" si="19"/>
        <v>7246277</v>
      </c>
      <c r="H70" s="19">
        <f t="shared" si="19"/>
        <v>10952766</v>
      </c>
      <c r="I70" s="40">
        <f t="shared" si="19"/>
        <v>11554926</v>
      </c>
      <c r="J70" s="20">
        <f t="shared" si="19"/>
        <v>14035540</v>
      </c>
      <c r="K70" s="40">
        <f t="shared" si="19"/>
        <v>13479624</v>
      </c>
      <c r="L70" s="20">
        <f t="shared" si="19"/>
        <v>19875039</v>
      </c>
      <c r="M70" s="40">
        <f t="shared" si="19"/>
        <v>24052301</v>
      </c>
      <c r="N70" s="20">
        <f t="shared" si="19"/>
        <v>28887182</v>
      </c>
      <c r="O70" s="40">
        <f t="shared" ref="O70" si="20">+O68+O46</f>
        <v>35731019</v>
      </c>
      <c r="P70" s="20">
        <f t="shared" ref="P70:R70" si="21">+P68+P46</f>
        <v>42672836</v>
      </c>
      <c r="Q70" s="40">
        <f t="shared" si="21"/>
        <v>51141353</v>
      </c>
      <c r="R70" s="20">
        <f t="shared" si="21"/>
        <v>56785756</v>
      </c>
      <c r="S70" s="40">
        <f t="shared" ref="S70:T70" si="22">+S68+S46</f>
        <v>49721645</v>
      </c>
      <c r="T70" s="20">
        <f t="shared" si="22"/>
        <v>58762478</v>
      </c>
      <c r="U70" s="40">
        <f t="shared" ref="U70:V70" si="23">+U68+U46</f>
        <v>57233855</v>
      </c>
      <c r="V70" s="20">
        <f t="shared" si="23"/>
        <v>60250526</v>
      </c>
    </row>
    <row r="71" spans="2:22" ht="12.75" thickTop="1" x14ac:dyDescent="0.2">
      <c r="C71" s="39"/>
      <c r="D71" s="18"/>
      <c r="E71" s="39"/>
      <c r="F71" s="16"/>
      <c r="G71" s="39"/>
      <c r="H71" s="16"/>
      <c r="I71" s="39"/>
      <c r="J71" s="18"/>
      <c r="K71" s="39"/>
      <c r="L71" s="18"/>
      <c r="M71" s="39"/>
      <c r="N71" s="18"/>
      <c r="O71" s="39"/>
      <c r="P71" s="18"/>
      <c r="Q71" s="39"/>
      <c r="R71" s="18"/>
      <c r="S71" s="39"/>
      <c r="T71" s="18"/>
      <c r="U71" s="39"/>
      <c r="V71" s="18"/>
    </row>
    <row r="72" spans="2:22" x14ac:dyDescent="0.2">
      <c r="B72" s="1" t="s">
        <v>29</v>
      </c>
      <c r="C72" s="39">
        <f t="shared" ref="C72:R72" si="24">+C36-C70</f>
        <v>0</v>
      </c>
      <c r="D72" s="18">
        <f t="shared" si="24"/>
        <v>0</v>
      </c>
      <c r="E72" s="39">
        <f t="shared" si="24"/>
        <v>0</v>
      </c>
      <c r="F72" s="16">
        <f t="shared" si="24"/>
        <v>0</v>
      </c>
      <c r="G72" s="39">
        <f t="shared" si="24"/>
        <v>0</v>
      </c>
      <c r="H72" s="16">
        <f t="shared" si="24"/>
        <v>0</v>
      </c>
      <c r="I72" s="39">
        <f t="shared" si="24"/>
        <v>0</v>
      </c>
      <c r="J72" s="18">
        <f t="shared" si="24"/>
        <v>0</v>
      </c>
      <c r="K72" s="39">
        <f t="shared" si="24"/>
        <v>0</v>
      </c>
      <c r="L72" s="18">
        <f t="shared" si="24"/>
        <v>0</v>
      </c>
      <c r="M72" s="39">
        <f t="shared" si="24"/>
        <v>0</v>
      </c>
      <c r="N72" s="18">
        <f t="shared" si="24"/>
        <v>0</v>
      </c>
      <c r="O72" s="39">
        <f t="shared" si="24"/>
        <v>0</v>
      </c>
      <c r="P72" s="18">
        <f t="shared" si="24"/>
        <v>0</v>
      </c>
      <c r="Q72" s="39">
        <f>+Q36-Q70</f>
        <v>0</v>
      </c>
      <c r="R72" s="18">
        <f t="shared" si="24"/>
        <v>0</v>
      </c>
      <c r="S72" s="39">
        <f t="shared" ref="S72:T72" si="25">+S36-S70</f>
        <v>0</v>
      </c>
      <c r="T72" s="18">
        <f t="shared" si="25"/>
        <v>0</v>
      </c>
      <c r="U72" s="39">
        <f t="shared" ref="U72" si="26">+U36-U70</f>
        <v>0</v>
      </c>
      <c r="V72" s="18">
        <f>+V36-V70</f>
        <v>-0.49166999757289886</v>
      </c>
    </row>
    <row r="73" spans="2:22" x14ac:dyDescent="0.2">
      <c r="C73" s="35"/>
      <c r="D73" s="15"/>
      <c r="E73" s="35"/>
      <c r="F73" s="14"/>
      <c r="G73" s="35"/>
      <c r="H73" s="14"/>
      <c r="I73" s="35"/>
      <c r="J73" s="15"/>
      <c r="K73" s="35"/>
      <c r="L73" s="15"/>
      <c r="M73" s="35"/>
      <c r="N73" s="15"/>
      <c r="O73" s="35"/>
      <c r="P73" s="15"/>
      <c r="Q73" s="35"/>
      <c r="R73" s="15"/>
      <c r="S73" s="35"/>
      <c r="T73" s="15"/>
      <c r="U73" s="35"/>
      <c r="V73" s="15"/>
    </row>
    <row r="74" spans="2:22" ht="18" customHeight="1" x14ac:dyDescent="0.35">
      <c r="B74" s="229" t="s">
        <v>476</v>
      </c>
      <c r="C74" s="35"/>
      <c r="D74" s="15"/>
      <c r="E74" s="35"/>
      <c r="F74" s="14"/>
      <c r="G74" s="35"/>
      <c r="H74" s="14"/>
      <c r="I74" s="35"/>
      <c r="J74" s="15"/>
      <c r="K74" s="35"/>
      <c r="L74" s="15"/>
      <c r="M74" s="35"/>
      <c r="N74" s="15"/>
      <c r="O74" s="35"/>
      <c r="P74" s="15"/>
      <c r="Q74" s="35"/>
      <c r="R74" s="15"/>
      <c r="S74" s="35"/>
      <c r="T74" s="15"/>
      <c r="U74" s="35"/>
      <c r="V74" s="15"/>
    </row>
    <row r="75" spans="2:22" x14ac:dyDescent="0.2">
      <c r="C75" s="35"/>
      <c r="D75" s="15"/>
      <c r="E75" s="35"/>
      <c r="F75" s="14"/>
      <c r="G75" s="35"/>
      <c r="H75" s="14"/>
      <c r="I75" s="35"/>
      <c r="J75" s="15"/>
      <c r="K75" s="35"/>
      <c r="L75" s="15"/>
      <c r="M75" s="35"/>
      <c r="N75" s="15"/>
      <c r="O75" s="35"/>
      <c r="P75" s="15"/>
      <c r="Q75" s="35"/>
      <c r="R75" s="15"/>
      <c r="S75" s="35"/>
      <c r="T75" s="15"/>
      <c r="U75" s="35"/>
      <c r="V75" s="15"/>
    </row>
    <row r="76" spans="2:22" x14ac:dyDescent="0.2">
      <c r="C76" s="35"/>
      <c r="D76" s="15"/>
      <c r="E76" s="35"/>
      <c r="F76" s="14"/>
      <c r="G76" s="35"/>
      <c r="H76" s="14"/>
      <c r="I76" s="35"/>
      <c r="J76" s="15"/>
      <c r="K76" s="35"/>
      <c r="L76" s="15"/>
      <c r="M76" s="35"/>
      <c r="N76" s="15"/>
      <c r="O76" s="35"/>
      <c r="P76" s="15"/>
      <c r="Q76" s="35"/>
      <c r="R76" s="15"/>
      <c r="S76" s="35"/>
      <c r="T76" s="15"/>
      <c r="U76" s="35"/>
      <c r="V76" s="15"/>
    </row>
    <row r="77" spans="2:22" x14ac:dyDescent="0.2">
      <c r="C77" s="35"/>
      <c r="D77" s="15"/>
      <c r="E77" s="35"/>
      <c r="F77" s="14"/>
      <c r="G77" s="35"/>
      <c r="H77" s="14"/>
      <c r="I77" s="35"/>
      <c r="J77" s="15"/>
      <c r="K77" s="35"/>
      <c r="L77" s="15"/>
      <c r="M77" s="35"/>
      <c r="N77" s="15"/>
      <c r="O77" s="35"/>
      <c r="P77" s="15"/>
      <c r="Q77" s="35"/>
      <c r="R77" s="15"/>
      <c r="S77" s="35"/>
      <c r="T77" s="15"/>
      <c r="U77" s="35"/>
      <c r="V77" s="15"/>
    </row>
  </sheetData>
  <pageMargins left="0.7" right="0.7" top="0.75" bottom="0.75" header="0.3" footer="0.3"/>
  <pageSetup paperSize="9" scale="1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67"/>
  <sheetViews>
    <sheetView showGridLines="0" zoomScale="90" zoomScaleNormal="90" workbookViewId="0">
      <pane xSplit="2" ySplit="1" topLeftCell="D44" activePane="bottomRight" state="frozen"/>
      <selection pane="topRight" activeCell="C1" sqref="C1"/>
      <selection pane="bottomLeft" activeCell="A2" sqref="A2"/>
      <selection pane="bottomRight" activeCell="B67" sqref="B67"/>
    </sheetView>
  </sheetViews>
  <sheetFormatPr defaultRowHeight="15" outlineLevelCol="1" x14ac:dyDescent="0.25"/>
  <cols>
    <col min="1" max="1" width="3.28515625" customWidth="1"/>
    <col min="2" max="2" width="51.42578125" customWidth="1"/>
    <col min="3" max="3" width="8.7109375" hidden="1" customWidth="1" outlineLevel="1"/>
    <col min="4" max="4" width="10.5703125" customWidth="1" collapsed="1"/>
    <col min="5" max="5" width="10.5703125" hidden="1" customWidth="1" outlineLevel="1"/>
    <col min="6" max="6" width="9.28515625" customWidth="1" collapsed="1"/>
    <col min="7" max="7" width="8.7109375" hidden="1" customWidth="1" outlineLevel="1"/>
    <col min="8" max="8" width="10" customWidth="1" collapsed="1"/>
    <col min="9" max="9" width="8.7109375" hidden="1" customWidth="1" outlineLevel="1"/>
    <col min="10" max="10" width="9.7109375" customWidth="1" collapsed="1"/>
    <col min="11" max="11" width="8.7109375" hidden="1" customWidth="1" outlineLevel="1"/>
    <col min="12" max="12" width="9.7109375" customWidth="1" collapsed="1"/>
    <col min="13" max="13" width="8.7109375" hidden="1" customWidth="1" outlineLevel="1"/>
    <col min="14" max="14" width="10" customWidth="1" collapsed="1"/>
    <col min="15" max="15" width="9.5703125" hidden="1" customWidth="1" outlineLevel="1"/>
    <col min="16" max="16" width="9.5703125" customWidth="1" collapsed="1"/>
    <col min="17" max="17" width="9.7109375" hidden="1" customWidth="1" outlineLevel="1"/>
    <col min="18" max="18" width="11" customWidth="1" collapsed="1"/>
    <col min="19" max="19" width="12.42578125" hidden="1" customWidth="1" outlineLevel="1"/>
    <col min="20" max="20" width="11" customWidth="1" collapsed="1"/>
    <col min="21" max="21" width="12.42578125" hidden="1" customWidth="1" outlineLevel="1"/>
    <col min="22" max="22" width="11" customWidth="1" collapsed="1"/>
  </cols>
  <sheetData>
    <row r="1" spans="2:22" s="33" customFormat="1" ht="21" customHeight="1" x14ac:dyDescent="0.25">
      <c r="B1" s="31"/>
      <c r="C1" s="34" t="s">
        <v>99</v>
      </c>
      <c r="D1" s="32">
        <v>2016</v>
      </c>
      <c r="E1" s="34" t="s">
        <v>89</v>
      </c>
      <c r="F1" s="31">
        <v>2017</v>
      </c>
      <c r="G1" s="34" t="s">
        <v>90</v>
      </c>
      <c r="H1" s="31">
        <v>2018</v>
      </c>
      <c r="I1" s="34" t="s">
        <v>91</v>
      </c>
      <c r="J1" s="32">
        <v>2019</v>
      </c>
      <c r="K1" s="34" t="s">
        <v>127</v>
      </c>
      <c r="L1" s="32">
        <v>2020</v>
      </c>
      <c r="M1" s="34" t="s">
        <v>128</v>
      </c>
      <c r="N1" s="32">
        <v>2021</v>
      </c>
      <c r="O1" s="34" t="s">
        <v>436</v>
      </c>
      <c r="P1" s="32">
        <v>2022</v>
      </c>
      <c r="Q1" s="34" t="s">
        <v>437</v>
      </c>
      <c r="R1" s="32">
        <v>2023</v>
      </c>
      <c r="S1" s="34" t="s">
        <v>463</v>
      </c>
      <c r="T1" s="32">
        <v>2024</v>
      </c>
      <c r="U1" s="34" t="s">
        <v>472</v>
      </c>
      <c r="V1" s="32">
        <v>2025</v>
      </c>
    </row>
    <row r="3" spans="2:22" s="1" customFormat="1" ht="18" x14ac:dyDescent="0.25">
      <c r="B3" s="28" t="s">
        <v>30</v>
      </c>
      <c r="C3" s="37"/>
      <c r="D3" s="30"/>
      <c r="E3" s="37"/>
      <c r="F3" s="29"/>
      <c r="G3" s="37"/>
      <c r="H3" s="29"/>
      <c r="I3" s="37"/>
      <c r="J3" s="30"/>
      <c r="K3" s="37"/>
      <c r="L3" s="30"/>
      <c r="M3" s="37"/>
      <c r="N3" s="30"/>
      <c r="O3" s="37"/>
      <c r="P3" s="30"/>
      <c r="Q3" s="37"/>
      <c r="R3" s="30"/>
      <c r="S3" s="37"/>
      <c r="T3" s="30"/>
      <c r="U3" s="37"/>
      <c r="V3" s="30"/>
    </row>
    <row r="4" spans="2:22" s="1" customFormat="1" ht="12" x14ac:dyDescent="0.2">
      <c r="B4" s="1" t="s">
        <v>10</v>
      </c>
      <c r="C4" s="35"/>
      <c r="D4" s="15"/>
      <c r="E4" s="35"/>
      <c r="F4" s="14"/>
      <c r="G4" s="35"/>
      <c r="H4" s="14"/>
      <c r="I4" s="35"/>
      <c r="J4" s="15"/>
      <c r="K4" s="35"/>
      <c r="L4" s="15"/>
      <c r="M4" s="35"/>
      <c r="N4" s="15"/>
      <c r="O4" s="35"/>
      <c r="P4" s="15"/>
      <c r="Q4" s="35"/>
      <c r="R4" s="15"/>
      <c r="S4" s="35"/>
      <c r="T4" s="15"/>
      <c r="U4" s="35"/>
      <c r="V4" s="15"/>
    </row>
    <row r="5" spans="2:22" s="1" customFormat="1" ht="12" x14ac:dyDescent="0.2">
      <c r="C5" s="35"/>
      <c r="D5" s="54"/>
      <c r="E5" s="35"/>
      <c r="F5" s="55"/>
      <c r="G5" s="35"/>
      <c r="H5" s="55"/>
      <c r="I5" s="35"/>
      <c r="J5" s="54"/>
      <c r="K5" s="35"/>
      <c r="L5" s="54"/>
      <c r="M5" s="35"/>
      <c r="N5" s="54"/>
      <c r="O5" s="35"/>
      <c r="P5" s="54"/>
      <c r="Q5" s="35"/>
      <c r="R5" s="54"/>
      <c r="S5" s="35"/>
      <c r="T5" s="54"/>
      <c r="U5" s="35"/>
      <c r="V5" s="54"/>
    </row>
    <row r="6" spans="2:22" s="2" customFormat="1" ht="12" x14ac:dyDescent="0.2">
      <c r="B6" s="2" t="s">
        <v>31</v>
      </c>
      <c r="C6" s="56">
        <v>295784</v>
      </c>
      <c r="D6" s="57">
        <v>2475528</v>
      </c>
      <c r="E6" s="56">
        <v>3343353</v>
      </c>
      <c r="F6" s="58">
        <v>5022087</v>
      </c>
      <c r="G6" s="56">
        <v>304747</v>
      </c>
      <c r="H6" s="58">
        <v>3211572</v>
      </c>
      <c r="I6" s="56">
        <v>4853687</v>
      </c>
      <c r="J6" s="57">
        <v>8798302</v>
      </c>
      <c r="K6" s="56">
        <v>5255009</v>
      </c>
      <c r="L6" s="57">
        <v>8335917</v>
      </c>
      <c r="M6" s="56">
        <v>6717783</v>
      </c>
      <c r="N6" s="57">
        <v>15904080</v>
      </c>
      <c r="O6" s="56">
        <v>14311107</v>
      </c>
      <c r="P6" s="57">
        <v>23500965</v>
      </c>
      <c r="Q6" s="56">
        <v>12913154</v>
      </c>
      <c r="R6" s="57">
        <v>28480217</v>
      </c>
      <c r="S6" s="56">
        <v>18266213</v>
      </c>
      <c r="T6" s="57">
        <v>31545568</v>
      </c>
      <c r="U6" s="56">
        <v>10047449</v>
      </c>
      <c r="V6" s="57">
        <v>24640293</v>
      </c>
    </row>
    <row r="7" spans="2:22" s="1" customFormat="1" ht="12" x14ac:dyDescent="0.2">
      <c r="B7" s="1" t="s">
        <v>76</v>
      </c>
      <c r="C7" s="48">
        <v>66391</v>
      </c>
      <c r="D7" s="49">
        <v>2014027</v>
      </c>
      <c r="E7" s="48">
        <v>3179159</v>
      </c>
      <c r="F7" s="47">
        <v>4352456</v>
      </c>
      <c r="G7" s="48">
        <v>671</v>
      </c>
      <c r="H7" s="47">
        <v>899940</v>
      </c>
      <c r="I7" s="48">
        <v>3585067</v>
      </c>
      <c r="J7" s="49">
        <v>5445744</v>
      </c>
      <c r="K7" s="48">
        <v>3103816</v>
      </c>
      <c r="L7" s="49">
        <v>4919818</v>
      </c>
      <c r="M7" s="48">
        <v>4213613</v>
      </c>
      <c r="N7" s="49">
        <v>11508306</v>
      </c>
      <c r="O7" s="48">
        <v>11344294</v>
      </c>
      <c r="P7" s="49">
        <v>18539431</v>
      </c>
      <c r="Q7" s="48">
        <v>7609500</v>
      </c>
      <c r="R7" s="49">
        <v>19556211</v>
      </c>
      <c r="S7" s="48">
        <v>12372535</v>
      </c>
      <c r="T7" s="49">
        <v>19701176</v>
      </c>
      <c r="U7" s="48">
        <v>6798362</v>
      </c>
      <c r="V7" s="49">
        <v>16338342</v>
      </c>
    </row>
    <row r="8" spans="2:22" s="1" customFormat="1" ht="12" x14ac:dyDescent="0.2">
      <c r="B8" s="1" t="s">
        <v>77</v>
      </c>
      <c r="C8" s="48">
        <v>191923</v>
      </c>
      <c r="D8" s="49">
        <v>398514</v>
      </c>
      <c r="E8" s="48">
        <v>118449</v>
      </c>
      <c r="F8" s="47">
        <v>539948</v>
      </c>
      <c r="G8" s="48">
        <v>254842</v>
      </c>
      <c r="H8" s="47">
        <v>2227660</v>
      </c>
      <c r="I8" s="48">
        <v>1250428</v>
      </c>
      <c r="J8" s="49">
        <v>3311883</v>
      </c>
      <c r="K8" s="48">
        <v>2127344</v>
      </c>
      <c r="L8" s="49">
        <v>3311577</v>
      </c>
      <c r="M8" s="48">
        <v>2402891</v>
      </c>
      <c r="N8" s="49">
        <v>4218147</v>
      </c>
      <c r="O8" s="48">
        <v>2814511</v>
      </c>
      <c r="P8" s="49">
        <v>4696252</v>
      </c>
      <c r="Q8" s="48">
        <v>5015968</v>
      </c>
      <c r="R8" s="49">
        <v>8245438</v>
      </c>
      <c r="S8" s="48">
        <v>5462004</v>
      </c>
      <c r="T8" s="49">
        <v>10878868</v>
      </c>
      <c r="U8" s="48">
        <v>2808159</v>
      </c>
      <c r="V8" s="49">
        <v>7222537</v>
      </c>
    </row>
    <row r="9" spans="2:22" s="1" customFormat="1" ht="12" x14ac:dyDescent="0.2">
      <c r="B9" s="1" t="s">
        <v>78</v>
      </c>
      <c r="C9" s="48">
        <v>33402</v>
      </c>
      <c r="D9" s="49">
        <v>57066</v>
      </c>
      <c r="E9" s="48">
        <v>39714</v>
      </c>
      <c r="F9" s="47">
        <v>117739</v>
      </c>
      <c r="G9" s="48">
        <v>43971</v>
      </c>
      <c r="H9" s="47">
        <v>65911</v>
      </c>
      <c r="I9" s="48">
        <v>2760</v>
      </c>
      <c r="J9" s="49">
        <v>20782</v>
      </c>
      <c r="K9" s="48">
        <v>19235</v>
      </c>
      <c r="L9" s="49">
        <v>74960</v>
      </c>
      <c r="M9" s="48">
        <v>65667</v>
      </c>
      <c r="N9" s="49">
        <v>92942</v>
      </c>
      <c r="O9" s="48">
        <v>77046</v>
      </c>
      <c r="P9" s="49">
        <v>90485</v>
      </c>
      <c r="Q9" s="48">
        <v>66364</v>
      </c>
      <c r="R9" s="49">
        <v>120985</v>
      </c>
      <c r="S9" s="48">
        <v>22035</v>
      </c>
      <c r="T9" s="49">
        <v>92361</v>
      </c>
      <c r="U9" s="48">
        <v>35596</v>
      </c>
      <c r="V9" s="49">
        <v>145083</v>
      </c>
    </row>
    <row r="10" spans="2:22" s="1" customFormat="1" ht="12" x14ac:dyDescent="0.2">
      <c r="B10" s="1" t="s">
        <v>474</v>
      </c>
      <c r="C10" s="48">
        <v>0</v>
      </c>
      <c r="D10" s="49">
        <v>0</v>
      </c>
      <c r="E10" s="48">
        <v>0</v>
      </c>
      <c r="F10" s="47">
        <v>0</v>
      </c>
      <c r="G10" s="48">
        <v>0</v>
      </c>
      <c r="H10" s="47">
        <v>0</v>
      </c>
      <c r="I10" s="48">
        <v>0</v>
      </c>
      <c r="J10" s="49">
        <v>0</v>
      </c>
      <c r="K10" s="48">
        <v>0</v>
      </c>
      <c r="L10" s="49">
        <v>0</v>
      </c>
      <c r="M10" s="48">
        <v>0</v>
      </c>
      <c r="N10" s="49">
        <v>0</v>
      </c>
      <c r="O10" s="48">
        <v>0</v>
      </c>
      <c r="P10" s="49">
        <v>0</v>
      </c>
      <c r="Q10" s="48">
        <v>0</v>
      </c>
      <c r="R10" s="49">
        <v>382180</v>
      </c>
      <c r="S10" s="48">
        <v>251840</v>
      </c>
      <c r="T10" s="49">
        <v>581841</v>
      </c>
      <c r="U10" s="48">
        <v>323363</v>
      </c>
      <c r="V10" s="49">
        <v>708723</v>
      </c>
    </row>
    <row r="11" spans="2:22" s="1" customFormat="1" ht="12" x14ac:dyDescent="0.2">
      <c r="B11" s="1" t="s">
        <v>79</v>
      </c>
      <c r="C11" s="48">
        <v>4068</v>
      </c>
      <c r="D11" s="49">
        <v>5921</v>
      </c>
      <c r="E11" s="48">
        <v>6031</v>
      </c>
      <c r="F11" s="47">
        <v>11944</v>
      </c>
      <c r="G11" s="48">
        <v>5263</v>
      </c>
      <c r="H11" s="47">
        <v>18061</v>
      </c>
      <c r="I11" s="48">
        <v>15432</v>
      </c>
      <c r="J11" s="49">
        <v>19893</v>
      </c>
      <c r="K11" s="48">
        <f>+K6-K7-K8-K9</f>
        <v>4614</v>
      </c>
      <c r="L11" s="49">
        <v>29562</v>
      </c>
      <c r="M11" s="48">
        <f>+M6-M7-M8-M9</f>
        <v>35612</v>
      </c>
      <c r="N11" s="49">
        <v>84685</v>
      </c>
      <c r="O11" s="48">
        <v>75256</v>
      </c>
      <c r="P11" s="49">
        <v>174797</v>
      </c>
      <c r="Q11" s="48">
        <v>221322</v>
      </c>
      <c r="R11" s="49">
        <v>175403</v>
      </c>
      <c r="S11" s="48">
        <v>157799</v>
      </c>
      <c r="T11" s="49">
        <v>291322</v>
      </c>
      <c r="U11" s="48">
        <v>81969</v>
      </c>
      <c r="V11" s="49">
        <v>225608</v>
      </c>
    </row>
    <row r="12" spans="2:22" s="1" customFormat="1" ht="12" x14ac:dyDescent="0.2">
      <c r="C12" s="48"/>
      <c r="D12" s="49"/>
      <c r="E12" s="48"/>
      <c r="F12" s="47"/>
      <c r="G12" s="48"/>
      <c r="H12" s="47"/>
      <c r="I12" s="48"/>
      <c r="J12" s="49"/>
      <c r="K12" s="48"/>
      <c r="L12" s="49"/>
      <c r="M12" s="48"/>
      <c r="N12" s="49"/>
      <c r="O12" s="48"/>
      <c r="P12" s="49"/>
      <c r="Q12" s="48"/>
      <c r="R12" s="49"/>
      <c r="S12" s="48"/>
      <c r="T12" s="49"/>
      <c r="U12" s="48"/>
      <c r="V12" s="49"/>
    </row>
    <row r="13" spans="2:22" s="2" customFormat="1" ht="12" x14ac:dyDescent="0.2">
      <c r="B13" s="2" t="s">
        <v>7</v>
      </c>
      <c r="C13" s="56">
        <v>-394064</v>
      </c>
      <c r="D13" s="57">
        <v>-1381260</v>
      </c>
      <c r="E13" s="56">
        <v>-2932981</v>
      </c>
      <c r="F13" s="58">
        <v>-4132312</v>
      </c>
      <c r="G13" s="56">
        <v>-304120</v>
      </c>
      <c r="H13" s="58">
        <v>-2202543</v>
      </c>
      <c r="I13" s="56">
        <v>-2610338</v>
      </c>
      <c r="J13" s="57">
        <v>-4841921</v>
      </c>
      <c r="K13" s="56">
        <v>-2967889</v>
      </c>
      <c r="L13" s="57">
        <v>-4996862</v>
      </c>
      <c r="M13" s="56">
        <v>-4090732</v>
      </c>
      <c r="N13" s="57">
        <v>-8844371</v>
      </c>
      <c r="O13" s="56">
        <v>-5537084</v>
      </c>
      <c r="P13" s="57">
        <v>-9775328</v>
      </c>
      <c r="Q13" s="56">
        <v>-5979588</v>
      </c>
      <c r="R13" s="57">
        <v>-13467257</v>
      </c>
      <c r="S13" s="56">
        <v>-8690792</v>
      </c>
      <c r="T13" s="57">
        <v>-15375731</v>
      </c>
      <c r="U13" s="56">
        <v>-6280073</v>
      </c>
      <c r="V13" s="57">
        <v>-15780251</v>
      </c>
    </row>
    <row r="14" spans="2:22" s="1" customFormat="1" ht="12" x14ac:dyDescent="0.2">
      <c r="B14" s="12" t="s">
        <v>182</v>
      </c>
      <c r="C14" s="48"/>
      <c r="D14" s="49">
        <v>-54623</v>
      </c>
      <c r="E14" s="48">
        <v>-1240841</v>
      </c>
      <c r="F14" s="47">
        <v>-1514422</v>
      </c>
      <c r="G14" s="48">
        <v>-115550</v>
      </c>
      <c r="H14" s="47">
        <v>-189708</v>
      </c>
      <c r="I14" s="48">
        <v>0</v>
      </c>
      <c r="J14" s="49">
        <v>0</v>
      </c>
      <c r="K14" s="48">
        <v>0</v>
      </c>
      <c r="L14" s="49">
        <v>0</v>
      </c>
      <c r="M14" s="48">
        <v>0</v>
      </c>
      <c r="N14" s="49">
        <v>0</v>
      </c>
      <c r="O14" s="48">
        <v>0</v>
      </c>
      <c r="P14" s="49">
        <v>0</v>
      </c>
      <c r="Q14" s="48">
        <v>0</v>
      </c>
      <c r="R14" s="49">
        <v>0</v>
      </c>
      <c r="S14" s="48">
        <v>0</v>
      </c>
      <c r="T14" s="49">
        <v>0</v>
      </c>
      <c r="U14" s="48"/>
      <c r="V14" s="49">
        <v>0</v>
      </c>
    </row>
    <row r="15" spans="2:22" s="1" customFormat="1" ht="12" x14ac:dyDescent="0.2">
      <c r="B15" s="1" t="s">
        <v>80</v>
      </c>
      <c r="C15" s="48"/>
      <c r="D15" s="49">
        <f>-1116197-D14</f>
        <v>-1061574</v>
      </c>
      <c r="E15" s="48">
        <v>-1142809</v>
      </c>
      <c r="F15" s="47">
        <f>-3205031-F14</f>
        <v>-1690609</v>
      </c>
      <c r="G15" s="48">
        <f>-253269-G14</f>
        <v>-137719</v>
      </c>
      <c r="H15" s="47">
        <f>-1546040-H14</f>
        <v>-1356332</v>
      </c>
      <c r="I15" s="48">
        <v>-1524214</v>
      </c>
      <c r="J15" s="49">
        <v>-3141432</v>
      </c>
      <c r="K15" s="48">
        <v>-2056788</v>
      </c>
      <c r="L15" s="49">
        <v>-3487394</v>
      </c>
      <c r="M15" s="48">
        <v>-3018713</v>
      </c>
      <c r="N15" s="49">
        <v>-6317638</v>
      </c>
      <c r="O15" s="48">
        <v>-3889868</v>
      </c>
      <c r="P15" s="49">
        <v>-6751955</v>
      </c>
      <c r="Q15" s="48">
        <v>-3929372</v>
      </c>
      <c r="R15" s="49">
        <v>-8793235</v>
      </c>
      <c r="S15" s="48">
        <v>-5653753</v>
      </c>
      <c r="T15" s="49">
        <v>-9735564</v>
      </c>
      <c r="U15" s="48">
        <v>-4003569</v>
      </c>
      <c r="V15" s="49">
        <v>-10305477</v>
      </c>
    </row>
    <row r="16" spans="2:22" s="1" customFormat="1" ht="12" x14ac:dyDescent="0.2">
      <c r="B16" s="1" t="s">
        <v>81</v>
      </c>
      <c r="C16" s="48"/>
      <c r="D16" s="49">
        <v>-110565</v>
      </c>
      <c r="E16" s="48">
        <v>-266930</v>
      </c>
      <c r="F16" s="47">
        <v>-487314</v>
      </c>
      <c r="G16" s="48">
        <v>-16600</v>
      </c>
      <c r="H16" s="47">
        <v>-375316</v>
      </c>
      <c r="I16" s="48">
        <v>-710648</v>
      </c>
      <c r="J16" s="49">
        <v>-951069</v>
      </c>
      <c r="K16" s="48">
        <v>-478981</v>
      </c>
      <c r="L16" s="49">
        <v>-714981</v>
      </c>
      <c r="M16" s="48">
        <v>-369122</v>
      </c>
      <c r="N16" s="49">
        <v>-1136988</v>
      </c>
      <c r="O16" s="48">
        <v>-815806</v>
      </c>
      <c r="P16" s="49">
        <v>-1473324</v>
      </c>
      <c r="Q16" s="48">
        <v>-1038009</v>
      </c>
      <c r="R16" s="49">
        <v>-2146400</v>
      </c>
      <c r="S16" s="48">
        <v>-1443472</v>
      </c>
      <c r="T16" s="49">
        <v>-2847109</v>
      </c>
      <c r="U16" s="48">
        <v>-1012737</v>
      </c>
      <c r="V16" s="49">
        <v>-2634344</v>
      </c>
    </row>
    <row r="17" spans="2:22" s="1" customFormat="1" ht="12" x14ac:dyDescent="0.2">
      <c r="B17" s="1" t="s">
        <v>82</v>
      </c>
      <c r="C17" s="48"/>
      <c r="D17" s="49">
        <v>-73889</v>
      </c>
      <c r="E17" s="48">
        <v>-132450</v>
      </c>
      <c r="F17" s="47">
        <v>-214293</v>
      </c>
      <c r="G17" s="48">
        <v>-15097</v>
      </c>
      <c r="H17" s="47">
        <v>-128006</v>
      </c>
      <c r="I17" s="48">
        <v>-197070</v>
      </c>
      <c r="J17" s="49">
        <v>-343356</v>
      </c>
      <c r="K17" s="48">
        <v>-218698</v>
      </c>
      <c r="L17" s="49">
        <v>-359033</v>
      </c>
      <c r="M17" s="48">
        <v>-344204</v>
      </c>
      <c r="N17" s="49">
        <v>-656617</v>
      </c>
      <c r="O17" s="48">
        <v>-399575</v>
      </c>
      <c r="P17" s="49">
        <v>-668887</v>
      </c>
      <c r="Q17" s="48">
        <v>-487645</v>
      </c>
      <c r="R17" s="49">
        <v>-1369176</v>
      </c>
      <c r="S17" s="48">
        <v>-855487</v>
      </c>
      <c r="T17" s="49">
        <v>-1623582</v>
      </c>
      <c r="U17" s="48">
        <v>-819555</v>
      </c>
      <c r="V17" s="49">
        <v>-1809205</v>
      </c>
    </row>
    <row r="18" spans="2:22" s="1" customFormat="1" ht="12" x14ac:dyDescent="0.2">
      <c r="B18" s="12" t="s">
        <v>190</v>
      </c>
      <c r="C18" s="48"/>
      <c r="D18" s="49">
        <v>-80609</v>
      </c>
      <c r="E18" s="48">
        <v>-149951</v>
      </c>
      <c r="F18" s="47">
        <v>-225674</v>
      </c>
      <c r="G18" s="48">
        <v>-19154</v>
      </c>
      <c r="H18" s="47">
        <v>-153181</v>
      </c>
      <c r="I18" s="48">
        <f>-171399-7007</f>
        <v>-178406</v>
      </c>
      <c r="J18" s="49">
        <f>-394026-12038</f>
        <v>-406064</v>
      </c>
      <c r="K18" s="48">
        <f>-206490-6932</f>
        <v>-213422</v>
      </c>
      <c r="L18" s="49">
        <f>-421217-14237</f>
        <v>-435454</v>
      </c>
      <c r="M18" s="48">
        <f>-352165-6528</f>
        <v>-358693</v>
      </c>
      <c r="N18" s="49">
        <f>-714926+-18202</f>
        <v>-733128</v>
      </c>
      <c r="O18" s="48">
        <f>-424092+-7743</f>
        <v>-431835</v>
      </c>
      <c r="P18" s="49">
        <f>-844661-36501</f>
        <v>-881162</v>
      </c>
      <c r="Q18" s="48">
        <f>-484278+-40284</f>
        <v>-524562</v>
      </c>
      <c r="R18" s="49">
        <v>-1158446</v>
      </c>
      <c r="S18" s="48">
        <f>-719128+-18952</f>
        <v>-738080</v>
      </c>
      <c r="T18" s="49">
        <v>-1169476</v>
      </c>
      <c r="U18" s="48">
        <f>-36555+-407657</f>
        <v>-444212</v>
      </c>
      <c r="V18" s="49">
        <v>-1031225</v>
      </c>
    </row>
    <row r="19" spans="2:22" s="1" customFormat="1" ht="12" x14ac:dyDescent="0.2">
      <c r="B19" s="12"/>
      <c r="C19" s="48"/>
      <c r="D19" s="49"/>
      <c r="E19" s="48"/>
      <c r="F19" s="47"/>
      <c r="G19" s="48"/>
      <c r="H19" s="47"/>
      <c r="I19" s="48"/>
      <c r="J19" s="49"/>
      <c r="K19" s="48"/>
      <c r="L19" s="49"/>
      <c r="M19" s="48"/>
      <c r="N19" s="49"/>
      <c r="O19" s="48"/>
      <c r="P19" s="49"/>
      <c r="Q19" s="48"/>
      <c r="R19" s="49"/>
      <c r="S19" s="48"/>
      <c r="T19" s="49"/>
      <c r="U19" s="48"/>
      <c r="V19" s="49"/>
    </row>
    <row r="20" spans="2:22" s="1" customFormat="1" ht="12" x14ac:dyDescent="0.2">
      <c r="C20" s="48"/>
      <c r="D20" s="49"/>
      <c r="E20" s="48"/>
      <c r="F20" s="47"/>
      <c r="G20" s="48"/>
      <c r="H20" s="47"/>
      <c r="I20" s="48"/>
      <c r="J20" s="49"/>
      <c r="K20" s="48"/>
      <c r="L20" s="49"/>
      <c r="M20" s="48"/>
      <c r="N20" s="49"/>
      <c r="O20" s="48"/>
      <c r="P20" s="49"/>
      <c r="Q20" s="48"/>
      <c r="R20" s="49"/>
      <c r="S20" s="48"/>
      <c r="T20" s="49"/>
      <c r="U20" s="48"/>
      <c r="V20" s="49"/>
    </row>
    <row r="21" spans="2:22" s="2" customFormat="1" ht="12" x14ac:dyDescent="0.2">
      <c r="B21" s="2" t="s">
        <v>32</v>
      </c>
      <c r="C21" s="56">
        <f t="shared" ref="C21:U21" si="0">SUM(C6,C13)</f>
        <v>-98280</v>
      </c>
      <c r="D21" s="57">
        <f t="shared" si="0"/>
        <v>1094268</v>
      </c>
      <c r="E21" s="56">
        <f t="shared" si="0"/>
        <v>410372</v>
      </c>
      <c r="F21" s="58">
        <f t="shared" si="0"/>
        <v>889775</v>
      </c>
      <c r="G21" s="56">
        <f t="shared" si="0"/>
        <v>627</v>
      </c>
      <c r="H21" s="58">
        <f t="shared" si="0"/>
        <v>1009029</v>
      </c>
      <c r="I21" s="56">
        <f t="shared" si="0"/>
        <v>2243349</v>
      </c>
      <c r="J21" s="57">
        <f t="shared" si="0"/>
        <v>3956381</v>
      </c>
      <c r="K21" s="56">
        <f t="shared" si="0"/>
        <v>2287120</v>
      </c>
      <c r="L21" s="57">
        <f t="shared" si="0"/>
        <v>3339055</v>
      </c>
      <c r="M21" s="56">
        <f t="shared" si="0"/>
        <v>2627051</v>
      </c>
      <c r="N21" s="57">
        <f t="shared" si="0"/>
        <v>7059709</v>
      </c>
      <c r="O21" s="56">
        <f t="shared" si="0"/>
        <v>8774023</v>
      </c>
      <c r="P21" s="57">
        <f t="shared" si="0"/>
        <v>13725637</v>
      </c>
      <c r="Q21" s="56">
        <f t="shared" si="0"/>
        <v>6933566</v>
      </c>
      <c r="R21" s="57">
        <f t="shared" si="0"/>
        <v>15012960</v>
      </c>
      <c r="S21" s="56">
        <f t="shared" si="0"/>
        <v>9575421</v>
      </c>
      <c r="T21" s="57">
        <f t="shared" si="0"/>
        <v>16169837</v>
      </c>
      <c r="U21" s="56">
        <f t="shared" si="0"/>
        <v>3767376</v>
      </c>
      <c r="V21" s="57">
        <f>SUM(V6,V13)</f>
        <v>8860042</v>
      </c>
    </row>
    <row r="22" spans="2:22" s="1" customFormat="1" ht="12" x14ac:dyDescent="0.2">
      <c r="C22" s="48"/>
      <c r="D22" s="49"/>
      <c r="E22" s="48"/>
      <c r="F22" s="47"/>
      <c r="G22" s="48"/>
      <c r="H22" s="47"/>
      <c r="I22" s="48"/>
      <c r="J22" s="49"/>
      <c r="K22" s="48"/>
      <c r="L22" s="49"/>
      <c r="M22" s="48"/>
      <c r="N22" s="49"/>
      <c r="O22" s="48"/>
      <c r="P22" s="49"/>
      <c r="Q22" s="48"/>
      <c r="R22" s="49"/>
      <c r="S22" s="48"/>
      <c r="T22" s="49"/>
      <c r="U22" s="48"/>
      <c r="V22" s="49"/>
    </row>
    <row r="23" spans="2:22" s="1" customFormat="1" ht="12" x14ac:dyDescent="0.2">
      <c r="B23" s="1" t="s">
        <v>104</v>
      </c>
      <c r="C23" s="48">
        <v>0</v>
      </c>
      <c r="D23" s="49">
        <v>0</v>
      </c>
      <c r="E23" s="48">
        <v>0</v>
      </c>
      <c r="F23" s="47">
        <v>0</v>
      </c>
      <c r="G23" s="48">
        <v>0</v>
      </c>
      <c r="H23" s="47">
        <v>23981</v>
      </c>
      <c r="I23" s="48">
        <v>11845</v>
      </c>
      <c r="J23" s="49">
        <v>-5409</v>
      </c>
      <c r="K23" s="48">
        <v>43272</v>
      </c>
      <c r="L23" s="49">
        <v>-12752</v>
      </c>
      <c r="M23" s="48">
        <v>10632</v>
      </c>
      <c r="N23" s="49">
        <v>50396</v>
      </c>
      <c r="O23" s="48">
        <v>142948</v>
      </c>
      <c r="P23" s="49">
        <v>44006</v>
      </c>
      <c r="Q23" s="48">
        <v>171223</v>
      </c>
      <c r="R23" s="49">
        <v>-51663</v>
      </c>
      <c r="S23" s="48">
        <v>253055</v>
      </c>
      <c r="T23" s="49">
        <v>-49743</v>
      </c>
      <c r="U23" s="48">
        <v>111615</v>
      </c>
      <c r="V23" s="49">
        <v>37667</v>
      </c>
    </row>
    <row r="24" spans="2:22" s="1" customFormat="1" ht="12" x14ac:dyDescent="0.2">
      <c r="B24" s="1" t="s">
        <v>33</v>
      </c>
      <c r="C24" s="48">
        <v>455075</v>
      </c>
      <c r="D24" s="49">
        <v>1738741</v>
      </c>
      <c r="E24" s="48">
        <v>81363</v>
      </c>
      <c r="F24" s="47">
        <v>202377</v>
      </c>
      <c r="G24" s="48">
        <v>403218</v>
      </c>
      <c r="H24" s="47">
        <v>2015298</v>
      </c>
      <c r="I24" s="48">
        <v>-757166</v>
      </c>
      <c r="J24" s="49">
        <v>669958</v>
      </c>
      <c r="K24" s="48">
        <v>-2255620</v>
      </c>
      <c r="L24" s="49">
        <v>468215</v>
      </c>
      <c r="M24" s="48">
        <v>281467</v>
      </c>
      <c r="N24" s="49">
        <v>3169547</v>
      </c>
      <c r="O24" s="48">
        <v>1454975</v>
      </c>
      <c r="P24" s="49">
        <v>1611575</v>
      </c>
      <c r="Q24" s="48">
        <v>3123470</v>
      </c>
      <c r="R24" s="49">
        <v>6245864</v>
      </c>
      <c r="S24" s="48">
        <v>-7977496</v>
      </c>
      <c r="T24" s="49">
        <v>-2506447</v>
      </c>
      <c r="U24" s="48">
        <v>-8327823</v>
      </c>
      <c r="V24" s="49">
        <v>-4406795</v>
      </c>
    </row>
    <row r="25" spans="2:22" s="1" customFormat="1" ht="12" x14ac:dyDescent="0.2">
      <c r="C25" s="48"/>
      <c r="D25" s="49"/>
      <c r="E25" s="48"/>
      <c r="F25" s="47"/>
      <c r="G25" s="48"/>
      <c r="H25" s="47"/>
      <c r="I25" s="48"/>
      <c r="J25" s="49"/>
      <c r="K25" s="48"/>
      <c r="L25" s="49"/>
      <c r="M25" s="48"/>
      <c r="N25" s="49"/>
      <c r="O25" s="48"/>
      <c r="P25" s="49"/>
      <c r="Q25" s="48"/>
      <c r="R25" s="49"/>
      <c r="S25" s="48"/>
      <c r="T25" s="49"/>
      <c r="U25" s="48"/>
      <c r="V25" s="49"/>
    </row>
    <row r="26" spans="2:22" s="2" customFormat="1" ht="12" x14ac:dyDescent="0.2">
      <c r="B26" s="2" t="s">
        <v>39</v>
      </c>
      <c r="C26" s="56">
        <f t="shared" ref="C26:M26" si="1">+C21+C23+C24</f>
        <v>356795</v>
      </c>
      <c r="D26" s="57">
        <f t="shared" si="1"/>
        <v>2833009</v>
      </c>
      <c r="E26" s="56">
        <f t="shared" si="1"/>
        <v>491735</v>
      </c>
      <c r="F26" s="58">
        <f t="shared" si="1"/>
        <v>1092152</v>
      </c>
      <c r="G26" s="56">
        <f t="shared" si="1"/>
        <v>403845</v>
      </c>
      <c r="H26" s="58">
        <f t="shared" si="1"/>
        <v>3048308</v>
      </c>
      <c r="I26" s="56">
        <f t="shared" si="1"/>
        <v>1498028</v>
      </c>
      <c r="J26" s="57">
        <f t="shared" si="1"/>
        <v>4620930</v>
      </c>
      <c r="K26" s="56">
        <f t="shared" si="1"/>
        <v>74772</v>
      </c>
      <c r="L26" s="57">
        <f>+L21+L23+L24</f>
        <v>3794518</v>
      </c>
      <c r="M26" s="56">
        <f t="shared" si="1"/>
        <v>2919150</v>
      </c>
      <c r="N26" s="57">
        <v>10279652</v>
      </c>
      <c r="O26" s="56">
        <v>10371946</v>
      </c>
      <c r="P26" s="57">
        <v>15381218</v>
      </c>
      <c r="Q26" s="56">
        <v>10228259</v>
      </c>
      <c r="R26" s="57">
        <f>+R21+R23+R24</f>
        <v>21207161</v>
      </c>
      <c r="S26" s="56">
        <f>+S21+S23+S24</f>
        <v>1850980</v>
      </c>
      <c r="T26" s="57">
        <f>+T21+T23+T24</f>
        <v>13613647</v>
      </c>
      <c r="U26" s="56">
        <f>+U21+U23+U24</f>
        <v>-4448832</v>
      </c>
      <c r="V26" s="57">
        <f>+V21+V23+V24</f>
        <v>4490914</v>
      </c>
    </row>
    <row r="27" spans="2:22" s="1" customFormat="1" ht="12" x14ac:dyDescent="0.2">
      <c r="C27" s="48"/>
      <c r="D27" s="49"/>
      <c r="E27" s="48"/>
      <c r="F27" s="47"/>
      <c r="G27" s="48"/>
      <c r="H27" s="47"/>
      <c r="I27" s="48"/>
      <c r="J27" s="49"/>
      <c r="K27" s="48"/>
      <c r="L27" s="49"/>
      <c r="M27" s="48"/>
      <c r="N27" s="49"/>
      <c r="O27" s="48"/>
      <c r="P27" s="49"/>
      <c r="Q27" s="48"/>
      <c r="R27" s="49"/>
      <c r="S27" s="48"/>
      <c r="T27" s="49"/>
      <c r="U27" s="48"/>
      <c r="V27" s="49"/>
    </row>
    <row r="28" spans="2:22" s="1" customFormat="1" ht="12" x14ac:dyDescent="0.2">
      <c r="B28" s="1" t="s">
        <v>183</v>
      </c>
      <c r="C28" s="48">
        <v>-7284</v>
      </c>
      <c r="D28" s="49">
        <v>-53635</v>
      </c>
      <c r="E28" s="48">
        <v>72</v>
      </c>
      <c r="F28" s="47">
        <v>-58474</v>
      </c>
      <c r="G28" s="48">
        <v>-978</v>
      </c>
      <c r="H28" s="47">
        <v>14528</v>
      </c>
      <c r="I28" s="48">
        <v>-24375</v>
      </c>
      <c r="J28" s="49">
        <v>-117753</v>
      </c>
      <c r="K28" s="48">
        <v>-97777</v>
      </c>
      <c r="L28" s="49">
        <v>-172997</v>
      </c>
      <c r="M28" s="48">
        <v>-161928</v>
      </c>
      <c r="N28" s="49">
        <v>-336001</v>
      </c>
      <c r="O28" s="48">
        <v>-351862</v>
      </c>
      <c r="P28" s="49">
        <v>-493902</v>
      </c>
      <c r="Q28" s="48">
        <v>-337758</v>
      </c>
      <c r="R28" s="49">
        <v>-854744</v>
      </c>
      <c r="S28" s="48">
        <v>-573183</v>
      </c>
      <c r="T28" s="49">
        <v>-1093366</v>
      </c>
      <c r="U28" s="48">
        <v>-344323</v>
      </c>
      <c r="V28" s="49">
        <v>-844267</v>
      </c>
    </row>
    <row r="29" spans="2:22" s="1" customFormat="1" ht="12" x14ac:dyDescent="0.2">
      <c r="B29" s="1" t="s">
        <v>34</v>
      </c>
      <c r="C29" s="48">
        <v>-44140</v>
      </c>
      <c r="D29" s="49">
        <v>-202172</v>
      </c>
      <c r="E29" s="48">
        <v>-147005</v>
      </c>
      <c r="F29" s="47">
        <v>-377502</v>
      </c>
      <c r="G29" s="48">
        <v>-157498</v>
      </c>
      <c r="H29" s="47">
        <v>-565821</v>
      </c>
      <c r="I29" s="48">
        <v>-212853</v>
      </c>
      <c r="J29" s="49">
        <v>-535908</v>
      </c>
      <c r="K29" s="48">
        <v>-176036</v>
      </c>
      <c r="L29" s="49">
        <v>-525953</v>
      </c>
      <c r="M29" s="48">
        <v>-244744</v>
      </c>
      <c r="N29" s="49">
        <v>-521351</v>
      </c>
      <c r="O29" s="48">
        <v>-528072</v>
      </c>
      <c r="P29" s="49">
        <v>-1088790</v>
      </c>
      <c r="Q29" s="48">
        <v>-521651</v>
      </c>
      <c r="R29" s="49">
        <v>-1471562</v>
      </c>
      <c r="S29" s="48">
        <v>-577495</v>
      </c>
      <c r="T29" s="49">
        <v>-1403095</v>
      </c>
      <c r="U29" s="48">
        <v>-680660</v>
      </c>
      <c r="V29" s="49">
        <v>-1208073</v>
      </c>
    </row>
    <row r="30" spans="2:22" s="1" customFormat="1" ht="12" x14ac:dyDescent="0.2">
      <c r="B30" s="1" t="s">
        <v>35</v>
      </c>
      <c r="C30" s="48">
        <v>0</v>
      </c>
      <c r="D30" s="49">
        <v>0</v>
      </c>
      <c r="E30" s="48">
        <v>0</v>
      </c>
      <c r="F30" s="47">
        <v>0</v>
      </c>
      <c r="G30" s="48">
        <v>0</v>
      </c>
      <c r="H30" s="47">
        <v>8403</v>
      </c>
      <c r="I30" s="48">
        <v>32222</v>
      </c>
      <c r="J30" s="49">
        <v>50313</v>
      </c>
      <c r="K30" s="48">
        <v>29312</v>
      </c>
      <c r="L30" s="49">
        <v>18081</v>
      </c>
      <c r="M30" s="48">
        <v>0</v>
      </c>
      <c r="N30" s="49">
        <v>0</v>
      </c>
      <c r="O30" s="48">
        <v>0</v>
      </c>
      <c r="P30" s="49">
        <v>0</v>
      </c>
      <c r="Q30" s="48">
        <v>0</v>
      </c>
      <c r="R30" s="49">
        <v>0</v>
      </c>
      <c r="S30" s="48">
        <v>0</v>
      </c>
      <c r="T30" s="49">
        <v>1248</v>
      </c>
      <c r="U30" s="48">
        <v>-5154</v>
      </c>
      <c r="V30" s="49">
        <v>9096</v>
      </c>
    </row>
    <row r="31" spans="2:22" s="1" customFormat="1" ht="12" x14ac:dyDescent="0.2">
      <c r="B31" s="1" t="s">
        <v>440</v>
      </c>
      <c r="C31" s="48">
        <v>0</v>
      </c>
      <c r="D31" s="49">
        <v>0</v>
      </c>
      <c r="E31" s="48">
        <v>0</v>
      </c>
      <c r="F31" s="47">
        <v>0</v>
      </c>
      <c r="G31" s="48">
        <v>0</v>
      </c>
      <c r="H31" s="47">
        <v>0</v>
      </c>
      <c r="I31" s="48">
        <v>0</v>
      </c>
      <c r="J31" s="49">
        <v>0</v>
      </c>
      <c r="K31" s="48">
        <v>0</v>
      </c>
      <c r="L31" s="49">
        <v>86239</v>
      </c>
      <c r="M31" s="48">
        <v>0</v>
      </c>
      <c r="N31" s="49">
        <v>0</v>
      </c>
      <c r="O31" s="48">
        <v>0</v>
      </c>
      <c r="P31" s="49">
        <v>0</v>
      </c>
      <c r="Q31" s="48">
        <v>0</v>
      </c>
      <c r="R31" s="49">
        <v>0</v>
      </c>
      <c r="S31" s="48">
        <v>0</v>
      </c>
      <c r="T31" s="49">
        <v>0</v>
      </c>
      <c r="U31" s="48">
        <v>0</v>
      </c>
      <c r="V31" s="49">
        <v>0</v>
      </c>
    </row>
    <row r="32" spans="2:22" s="1" customFormat="1" ht="12" x14ac:dyDescent="0.2">
      <c r="B32" s="1" t="s">
        <v>441</v>
      </c>
      <c r="C32" s="48">
        <v>0</v>
      </c>
      <c r="D32" s="49">
        <v>0</v>
      </c>
      <c r="E32" s="48">
        <v>0</v>
      </c>
      <c r="F32" s="47">
        <v>0</v>
      </c>
      <c r="G32" s="48">
        <v>0</v>
      </c>
      <c r="H32" s="47">
        <v>0</v>
      </c>
      <c r="I32" s="48">
        <v>0</v>
      </c>
      <c r="J32" s="49">
        <v>0</v>
      </c>
      <c r="K32" s="48">
        <v>0</v>
      </c>
      <c r="L32" s="49">
        <v>0</v>
      </c>
      <c r="M32" s="48">
        <v>-164</v>
      </c>
      <c r="N32" s="49">
        <v>0</v>
      </c>
      <c r="O32" s="48">
        <v>-357589</v>
      </c>
      <c r="P32" s="49">
        <v>-350606</v>
      </c>
      <c r="Q32" s="48">
        <v>-5190</v>
      </c>
      <c r="R32" s="49">
        <v>-4962</v>
      </c>
      <c r="S32" s="48">
        <v>0</v>
      </c>
      <c r="T32" s="49">
        <v>-11994</v>
      </c>
      <c r="U32" s="48">
        <v>0</v>
      </c>
      <c r="V32" s="49">
        <v>1500</v>
      </c>
    </row>
    <row r="33" spans="2:22" s="1" customFormat="1" ht="12" x14ac:dyDescent="0.2">
      <c r="B33" s="1" t="s">
        <v>442</v>
      </c>
      <c r="C33" s="48">
        <v>0</v>
      </c>
      <c r="D33" s="49">
        <v>0</v>
      </c>
      <c r="E33" s="48">
        <v>0</v>
      </c>
      <c r="F33" s="47">
        <v>0</v>
      </c>
      <c r="G33" s="48">
        <v>0</v>
      </c>
      <c r="H33" s="47">
        <v>0</v>
      </c>
      <c r="I33" s="48">
        <v>0</v>
      </c>
      <c r="J33" s="49">
        <v>0</v>
      </c>
      <c r="K33" s="48">
        <v>0</v>
      </c>
      <c r="L33" s="49">
        <v>0</v>
      </c>
      <c r="M33" s="48">
        <v>0</v>
      </c>
      <c r="N33" s="49">
        <v>0</v>
      </c>
      <c r="O33" s="48">
        <v>1933</v>
      </c>
      <c r="P33" s="49">
        <v>-1249</v>
      </c>
      <c r="Q33" s="48">
        <v>-208995</v>
      </c>
      <c r="R33" s="49">
        <v>-260759</v>
      </c>
      <c r="S33" s="48">
        <v>0</v>
      </c>
      <c r="T33" s="49">
        <v>-73549</v>
      </c>
      <c r="U33" s="48">
        <v>0</v>
      </c>
      <c r="V33" s="49">
        <v>1407</v>
      </c>
    </row>
    <row r="34" spans="2:22" s="1" customFormat="1" ht="12" x14ac:dyDescent="0.2">
      <c r="B34" s="1" t="s">
        <v>36</v>
      </c>
      <c r="C34" s="48">
        <v>26278</v>
      </c>
      <c r="D34" s="49">
        <v>167030</v>
      </c>
      <c r="E34" s="48">
        <v>8447</v>
      </c>
      <c r="F34" s="47">
        <v>43997</v>
      </c>
      <c r="G34" s="48">
        <v>7036</v>
      </c>
      <c r="H34" s="47">
        <v>101633</v>
      </c>
      <c r="I34" s="48">
        <v>12898</v>
      </c>
      <c r="J34" s="49">
        <v>38397</v>
      </c>
      <c r="K34" s="48">
        <v>229928</v>
      </c>
      <c r="L34" s="49">
        <v>634367</v>
      </c>
      <c r="M34" s="48">
        <v>180552</v>
      </c>
      <c r="N34" s="49">
        <v>271619</v>
      </c>
      <c r="O34" s="48">
        <v>109357</v>
      </c>
      <c r="P34" s="49">
        <v>430447</v>
      </c>
      <c r="Q34" s="48">
        <v>48512</v>
      </c>
      <c r="R34" s="49">
        <v>516223</v>
      </c>
      <c r="S34" s="48">
        <v>1036045</v>
      </c>
      <c r="T34" s="49">
        <v>1500233</v>
      </c>
      <c r="U34" s="48">
        <v>413803</v>
      </c>
      <c r="V34" s="49">
        <v>357711</v>
      </c>
    </row>
    <row r="35" spans="2:22" s="5" customFormat="1" ht="12" x14ac:dyDescent="0.2">
      <c r="B35" s="5" t="s">
        <v>83</v>
      </c>
      <c r="C35" s="60">
        <v>0</v>
      </c>
      <c r="D35" s="61">
        <v>0</v>
      </c>
      <c r="E35" s="60">
        <v>0</v>
      </c>
      <c r="F35" s="62">
        <v>5117</v>
      </c>
      <c r="G35" s="60">
        <v>0</v>
      </c>
      <c r="H35" s="62">
        <v>49690</v>
      </c>
      <c r="I35" s="60">
        <v>5126</v>
      </c>
      <c r="J35" s="61">
        <v>0</v>
      </c>
      <c r="K35" s="60">
        <v>215998</v>
      </c>
      <c r="L35" s="61">
        <v>374285</v>
      </c>
      <c r="M35" s="60">
        <v>159898</v>
      </c>
      <c r="N35" s="61">
        <v>237199</v>
      </c>
      <c r="O35" s="60">
        <v>0</v>
      </c>
      <c r="P35" s="61">
        <v>324685</v>
      </c>
      <c r="Q35" s="60">
        <v>0</v>
      </c>
      <c r="R35" s="61">
        <v>399677</v>
      </c>
      <c r="S35" s="60">
        <v>437394</v>
      </c>
      <c r="T35" s="61">
        <v>696782</v>
      </c>
      <c r="U35" s="60">
        <v>152092</v>
      </c>
      <c r="V35" s="61">
        <v>0</v>
      </c>
    </row>
    <row r="36" spans="2:22" s="5" customFormat="1" ht="12" x14ac:dyDescent="0.2">
      <c r="B36" s="84" t="s">
        <v>192</v>
      </c>
      <c r="C36" s="60">
        <v>0</v>
      </c>
      <c r="D36" s="61">
        <v>125102</v>
      </c>
      <c r="E36" s="60">
        <v>0</v>
      </c>
      <c r="F36" s="62">
        <v>0</v>
      </c>
      <c r="G36" s="60">
        <v>0</v>
      </c>
      <c r="H36" s="62">
        <v>0</v>
      </c>
      <c r="I36" s="60">
        <v>0</v>
      </c>
      <c r="J36" s="61">
        <v>0</v>
      </c>
      <c r="K36" s="60">
        <v>0</v>
      </c>
      <c r="L36" s="61">
        <v>237257</v>
      </c>
      <c r="M36" s="60">
        <v>0</v>
      </c>
      <c r="N36" s="61">
        <v>17296</v>
      </c>
      <c r="O36" s="60">
        <v>0</v>
      </c>
      <c r="P36" s="61">
        <v>10167</v>
      </c>
      <c r="Q36" s="60">
        <v>0</v>
      </c>
      <c r="R36" s="61">
        <v>5066</v>
      </c>
      <c r="S36" s="60">
        <v>186668</v>
      </c>
      <c r="T36" s="61">
        <v>231125</v>
      </c>
      <c r="U36" s="60">
        <v>104538</v>
      </c>
      <c r="V36" s="61">
        <v>180441</v>
      </c>
    </row>
    <row r="37" spans="2:22" s="5" customFormat="1" ht="12" x14ac:dyDescent="0.2">
      <c r="B37" s="5" t="s">
        <v>84</v>
      </c>
      <c r="C37" s="60">
        <v>0</v>
      </c>
      <c r="D37" s="61">
        <f>+D34-D35-D36</f>
        <v>41928</v>
      </c>
      <c r="E37" s="60">
        <v>0</v>
      </c>
      <c r="F37" s="62">
        <f>F34-F35-F36</f>
        <v>38880</v>
      </c>
      <c r="G37" s="60">
        <v>0</v>
      </c>
      <c r="H37" s="62">
        <f>+H34-H35-H36</f>
        <v>51943</v>
      </c>
      <c r="I37" s="60">
        <f>+I34-I35-I36</f>
        <v>7772</v>
      </c>
      <c r="J37" s="61">
        <f>+J34-J35-J36</f>
        <v>38397</v>
      </c>
      <c r="K37" s="60">
        <f>K34-K35-K36</f>
        <v>13930</v>
      </c>
      <c r="L37" s="61">
        <f>+L34-L35-L36</f>
        <v>22825</v>
      </c>
      <c r="M37" s="60">
        <f>M34-M35-M36</f>
        <v>20654</v>
      </c>
      <c r="N37" s="61">
        <f>+N34-N35-N36</f>
        <v>17124</v>
      </c>
      <c r="O37" s="60">
        <f>O34-O35-O36</f>
        <v>109357</v>
      </c>
      <c r="P37" s="61">
        <f>+P34-P35-P36</f>
        <v>95595</v>
      </c>
      <c r="Q37" s="60">
        <f>Q34-Q35-Q36</f>
        <v>48512</v>
      </c>
      <c r="R37" s="61">
        <f>+R34-R35-R36</f>
        <v>111480</v>
      </c>
      <c r="S37" s="60">
        <f>S34-S35-S36</f>
        <v>411983</v>
      </c>
      <c r="T37" s="61">
        <f>+T34-T35-T36</f>
        <v>572326</v>
      </c>
      <c r="U37" s="60">
        <f>U34-U35-U36</f>
        <v>157173</v>
      </c>
      <c r="V37" s="61">
        <f>+V34-V35-V36</f>
        <v>177270</v>
      </c>
    </row>
    <row r="38" spans="2:22" s="1" customFormat="1" ht="12" x14ac:dyDescent="0.2">
      <c r="B38" s="1" t="s">
        <v>0</v>
      </c>
      <c r="C38" s="48">
        <v>-85071</v>
      </c>
      <c r="D38" s="49">
        <v>-128618</v>
      </c>
      <c r="E38" s="48">
        <v>-176318</v>
      </c>
      <c r="F38" s="47">
        <v>-216023</v>
      </c>
      <c r="G38" s="48">
        <v>-28175</v>
      </c>
      <c r="H38" s="47">
        <v>-70290</v>
      </c>
      <c r="I38" s="48">
        <v>-73994</v>
      </c>
      <c r="J38" s="49">
        <v>-469335</v>
      </c>
      <c r="K38" s="48">
        <v>-259109</v>
      </c>
      <c r="L38" s="49">
        <v>-403947</v>
      </c>
      <c r="M38" s="48">
        <v>-376460</v>
      </c>
      <c r="N38" s="49">
        <v>-505056</v>
      </c>
      <c r="O38" s="48">
        <v>-189389</v>
      </c>
      <c r="P38" s="49">
        <v>-543832</v>
      </c>
      <c r="Q38" s="48">
        <v>-199725</v>
      </c>
      <c r="R38" s="49">
        <v>-2388473</v>
      </c>
      <c r="S38" s="48">
        <v>-2593387</v>
      </c>
      <c r="T38" s="49">
        <v>-3774225</v>
      </c>
      <c r="U38" s="48">
        <v>-1319911</v>
      </c>
      <c r="V38" s="49">
        <v>-2834537</v>
      </c>
    </row>
    <row r="39" spans="2:22" s="1" customFormat="1" ht="12" x14ac:dyDescent="0.2">
      <c r="B39" s="5" t="s">
        <v>193</v>
      </c>
      <c r="C39" s="60">
        <v>-70630</v>
      </c>
      <c r="D39" s="61">
        <v>-93615</v>
      </c>
      <c r="E39" s="60">
        <v>-155944</v>
      </c>
      <c r="F39" s="62">
        <v>-180574</v>
      </c>
      <c r="G39" s="60">
        <v>-20225</v>
      </c>
      <c r="H39" s="62">
        <v>-32209</v>
      </c>
      <c r="I39" s="60">
        <f>-12486-28828</f>
        <v>-41314</v>
      </c>
      <c r="J39" s="61">
        <f>-389971-38162</f>
        <v>-428133</v>
      </c>
      <c r="K39" s="60">
        <v>-192188</v>
      </c>
      <c r="L39" s="61">
        <v>-278484</v>
      </c>
      <c r="M39" s="60">
        <v>-313516</v>
      </c>
      <c r="N39" s="61">
        <v>-390289</v>
      </c>
      <c r="O39" s="60">
        <v>-135969</v>
      </c>
      <c r="P39" s="61">
        <v>-331943</v>
      </c>
      <c r="Q39" s="60">
        <v>-107539</v>
      </c>
      <c r="R39" s="61">
        <v>-1540579</v>
      </c>
      <c r="S39" s="60">
        <v>-2419913</v>
      </c>
      <c r="T39" s="61">
        <v>-3396902</v>
      </c>
      <c r="U39" s="60">
        <v>-1204670</v>
      </c>
      <c r="V39" s="61">
        <f>-2383278-151407</f>
        <v>-2534685</v>
      </c>
    </row>
    <row r="40" spans="2:22" s="1" customFormat="1" ht="12" hidden="1" x14ac:dyDescent="0.2">
      <c r="B40" s="5" t="s">
        <v>107</v>
      </c>
      <c r="C40" s="60">
        <v>0</v>
      </c>
      <c r="D40" s="61">
        <v>0</v>
      </c>
      <c r="E40" s="60">
        <v>0</v>
      </c>
      <c r="F40" s="62">
        <v>0</v>
      </c>
      <c r="G40" s="60">
        <v>0</v>
      </c>
      <c r="H40" s="62">
        <v>0</v>
      </c>
      <c r="I40" s="60">
        <f t="shared" ref="I40:M40" si="2">-(I53+I24+I14)</f>
        <v>0</v>
      </c>
      <c r="J40" s="61">
        <f t="shared" si="2"/>
        <v>0</v>
      </c>
      <c r="K40" s="60">
        <f t="shared" si="2"/>
        <v>0</v>
      </c>
      <c r="L40" s="61">
        <f t="shared" si="2"/>
        <v>0</v>
      </c>
      <c r="M40" s="60">
        <f t="shared" si="2"/>
        <v>0</v>
      </c>
      <c r="N40" s="61">
        <v>0</v>
      </c>
      <c r="O40" s="60">
        <v>0</v>
      </c>
      <c r="P40" s="61">
        <v>0</v>
      </c>
      <c r="Q40" s="60">
        <v>0</v>
      </c>
      <c r="R40" s="61">
        <v>0</v>
      </c>
      <c r="S40" s="60">
        <v>0</v>
      </c>
      <c r="T40" s="61">
        <v>0</v>
      </c>
      <c r="U40" s="60">
        <v>0</v>
      </c>
      <c r="V40" s="61"/>
    </row>
    <row r="41" spans="2:22" s="1" customFormat="1" ht="12" x14ac:dyDescent="0.2">
      <c r="B41" s="5" t="s">
        <v>85</v>
      </c>
      <c r="C41" s="60">
        <f t="shared" ref="C41:O41" si="3">C38-C39-C40</f>
        <v>-14441</v>
      </c>
      <c r="D41" s="61">
        <f t="shared" si="3"/>
        <v>-35003</v>
      </c>
      <c r="E41" s="60">
        <f t="shared" si="3"/>
        <v>-20374</v>
      </c>
      <c r="F41" s="62">
        <f t="shared" si="3"/>
        <v>-35449</v>
      </c>
      <c r="G41" s="60">
        <f t="shared" si="3"/>
        <v>-7950</v>
      </c>
      <c r="H41" s="62">
        <f t="shared" si="3"/>
        <v>-38081</v>
      </c>
      <c r="I41" s="60">
        <f t="shared" si="3"/>
        <v>-32680</v>
      </c>
      <c r="J41" s="61">
        <f t="shared" si="3"/>
        <v>-41202</v>
      </c>
      <c r="K41" s="60">
        <f t="shared" si="3"/>
        <v>-66921</v>
      </c>
      <c r="L41" s="61">
        <f>L38-L39-L40</f>
        <v>-125463</v>
      </c>
      <c r="M41" s="60">
        <f t="shared" si="3"/>
        <v>-62944</v>
      </c>
      <c r="N41" s="61">
        <f>N38-N39-N40</f>
        <v>-114767</v>
      </c>
      <c r="O41" s="60">
        <f t="shared" si="3"/>
        <v>-53420</v>
      </c>
      <c r="P41" s="61">
        <f t="shared" ref="P41:V41" si="4">P38-P39-P40</f>
        <v>-211889</v>
      </c>
      <c r="Q41" s="60">
        <f t="shared" si="4"/>
        <v>-92186</v>
      </c>
      <c r="R41" s="61">
        <f t="shared" si="4"/>
        <v>-847894</v>
      </c>
      <c r="S41" s="60">
        <f t="shared" si="4"/>
        <v>-173474</v>
      </c>
      <c r="T41" s="61">
        <f t="shared" si="4"/>
        <v>-377323</v>
      </c>
      <c r="U41" s="60">
        <f t="shared" si="4"/>
        <v>-115241</v>
      </c>
      <c r="V41" s="61">
        <f t="shared" si="4"/>
        <v>-299852</v>
      </c>
    </row>
    <row r="42" spans="2:22" s="1" customFormat="1" ht="12" x14ac:dyDescent="0.2">
      <c r="B42" s="1" t="s">
        <v>37</v>
      </c>
      <c r="C42" s="48">
        <v>16138</v>
      </c>
      <c r="D42" s="49">
        <v>17858</v>
      </c>
      <c r="E42" s="48">
        <v>3178</v>
      </c>
      <c r="F42" s="47">
        <v>20626</v>
      </c>
      <c r="G42" s="48">
        <v>14923</v>
      </c>
      <c r="H42" s="47">
        <v>29411</v>
      </c>
      <c r="I42" s="48">
        <v>22742</v>
      </c>
      <c r="J42" s="49">
        <v>30456</v>
      </c>
      <c r="K42" s="48">
        <v>6504</v>
      </c>
      <c r="L42" s="49">
        <v>12130</v>
      </c>
      <c r="M42" s="48">
        <v>23164</v>
      </c>
      <c r="N42" s="49">
        <v>38354</v>
      </c>
      <c r="O42" s="48">
        <v>29021</v>
      </c>
      <c r="P42" s="49">
        <v>87749</v>
      </c>
      <c r="Q42" s="48">
        <v>49156</v>
      </c>
      <c r="R42" s="49">
        <v>114443</v>
      </c>
      <c r="S42" s="48">
        <v>127799</v>
      </c>
      <c r="T42" s="49">
        <v>331980</v>
      </c>
      <c r="U42" s="48">
        <v>327803</v>
      </c>
      <c r="V42" s="49">
        <v>725748</v>
      </c>
    </row>
    <row r="43" spans="2:22" s="1" customFormat="1" ht="12" x14ac:dyDescent="0.2">
      <c r="B43" s="1" t="s">
        <v>1</v>
      </c>
      <c r="C43" s="48">
        <v>-350192</v>
      </c>
      <c r="D43" s="49">
        <v>-452355</v>
      </c>
      <c r="E43" s="48">
        <v>-103210</v>
      </c>
      <c r="F43" s="47">
        <v>-114691</v>
      </c>
      <c r="G43" s="48">
        <v>-93962</v>
      </c>
      <c r="H43" s="47">
        <v>-247862</v>
      </c>
      <c r="I43" s="48">
        <v>-198120</v>
      </c>
      <c r="J43" s="49">
        <v>-285928</v>
      </c>
      <c r="K43" s="48">
        <f>-142556</f>
        <v>-142556</v>
      </c>
      <c r="L43" s="49">
        <v>-258845</v>
      </c>
      <c r="M43" s="48">
        <v>-271018</v>
      </c>
      <c r="N43" s="49">
        <v>-589159</v>
      </c>
      <c r="O43" s="48">
        <v>-477965</v>
      </c>
      <c r="P43" s="49">
        <v>-959332</v>
      </c>
      <c r="Q43" s="48">
        <v>-569224</v>
      </c>
      <c r="R43" s="49">
        <v>-1275934</v>
      </c>
      <c r="S43" s="48">
        <v>-586372</v>
      </c>
      <c r="T43" s="49">
        <v>-1330125</v>
      </c>
      <c r="U43" s="48">
        <v>-1300732</v>
      </c>
      <c r="V43" s="49">
        <v>-2813641</v>
      </c>
    </row>
    <row r="44" spans="2:22" s="1" customFormat="1" ht="12" x14ac:dyDescent="0.2">
      <c r="B44" s="1" t="s">
        <v>105</v>
      </c>
      <c r="C44" s="48">
        <v>22862</v>
      </c>
      <c r="D44" s="49">
        <v>9529</v>
      </c>
      <c r="E44" s="48">
        <v>-7781</v>
      </c>
      <c r="F44" s="47">
        <v>-17088</v>
      </c>
      <c r="G44" s="48">
        <v>30910</v>
      </c>
      <c r="H44" s="47">
        <v>361</v>
      </c>
      <c r="I44" s="48">
        <v>-11870</v>
      </c>
      <c r="J44" s="49">
        <v>-46598</v>
      </c>
      <c r="K44" s="48">
        <v>-39360</v>
      </c>
      <c r="L44" s="49">
        <v>24842</v>
      </c>
      <c r="M44" s="48">
        <v>-25081</v>
      </c>
      <c r="N44" s="49">
        <v>-35820</v>
      </c>
      <c r="O44" s="48">
        <v>-314438</v>
      </c>
      <c r="P44" s="49">
        <v>-205494</v>
      </c>
      <c r="Q44" s="48">
        <v>181682</v>
      </c>
      <c r="R44" s="49">
        <v>376573</v>
      </c>
      <c r="S44" s="48">
        <v>-113061</v>
      </c>
      <c r="T44" s="49">
        <v>-9915</v>
      </c>
      <c r="U44" s="48">
        <v>-141980</v>
      </c>
      <c r="V44" s="49">
        <v>-137277</v>
      </c>
    </row>
    <row r="45" spans="2:22" s="1" customFormat="1" ht="12" x14ac:dyDescent="0.2">
      <c r="C45" s="48"/>
      <c r="D45" s="49"/>
      <c r="E45" s="48"/>
      <c r="F45" s="47"/>
      <c r="G45" s="48"/>
      <c r="H45" s="47"/>
      <c r="I45" s="48"/>
      <c r="J45" s="49"/>
      <c r="K45" s="48"/>
      <c r="L45" s="49"/>
      <c r="M45" s="48"/>
      <c r="N45" s="49"/>
      <c r="O45" s="48"/>
      <c r="P45" s="49"/>
      <c r="Q45" s="48"/>
      <c r="R45" s="49"/>
      <c r="S45" s="48"/>
      <c r="T45" s="49"/>
      <c r="U45" s="48"/>
      <c r="V45" s="49"/>
    </row>
    <row r="46" spans="2:22" s="2" customFormat="1" ht="12" x14ac:dyDescent="0.2">
      <c r="B46" s="2" t="s">
        <v>38</v>
      </c>
      <c r="C46" s="56">
        <f t="shared" ref="C46:R46" si="5">SUM(C26,C28:C34,C38,C42:C44)</f>
        <v>-64614</v>
      </c>
      <c r="D46" s="57">
        <f t="shared" si="5"/>
        <v>2190646</v>
      </c>
      <c r="E46" s="56">
        <f t="shared" si="5"/>
        <v>69118</v>
      </c>
      <c r="F46" s="58">
        <f t="shared" si="5"/>
        <v>372997</v>
      </c>
      <c r="G46" s="56">
        <f t="shared" si="5"/>
        <v>176101</v>
      </c>
      <c r="H46" s="58">
        <f t="shared" si="5"/>
        <v>2318671</v>
      </c>
      <c r="I46" s="56">
        <f t="shared" si="5"/>
        <v>1044678</v>
      </c>
      <c r="J46" s="57">
        <f t="shared" si="5"/>
        <v>3284574</v>
      </c>
      <c r="K46" s="56">
        <f t="shared" si="5"/>
        <v>-374322</v>
      </c>
      <c r="L46" s="57">
        <f t="shared" si="5"/>
        <v>3208435</v>
      </c>
      <c r="M46" s="56">
        <f t="shared" si="5"/>
        <v>2043471</v>
      </c>
      <c r="N46" s="57">
        <f t="shared" si="5"/>
        <v>8602238</v>
      </c>
      <c r="O46" s="56">
        <f t="shared" si="5"/>
        <v>8292942</v>
      </c>
      <c r="P46" s="57">
        <f>SUM(P26,P28:P34,P38,P42:P44)</f>
        <v>12256209</v>
      </c>
      <c r="Q46" s="56">
        <f t="shared" si="5"/>
        <v>8665066</v>
      </c>
      <c r="R46" s="57">
        <f t="shared" si="5"/>
        <v>15957966</v>
      </c>
      <c r="S46" s="56">
        <f>SUM(S26,S28:S34,S38,S42:S44)</f>
        <v>-1428674</v>
      </c>
      <c r="T46" s="57">
        <f t="shared" ref="T46:V46" si="6">SUM(T26,T28:T34,T38,T42:T44)</f>
        <v>7750839</v>
      </c>
      <c r="U46" s="56">
        <f>SUM(U26,U28:U34,U38,U42:U44)</f>
        <v>-7499986</v>
      </c>
      <c r="V46" s="57">
        <f t="shared" si="6"/>
        <v>-2251419</v>
      </c>
    </row>
    <row r="47" spans="2:22" s="1" customFormat="1" ht="12" x14ac:dyDescent="0.2">
      <c r="B47" s="1" t="s">
        <v>40</v>
      </c>
      <c r="C47" s="48">
        <v>-23349</v>
      </c>
      <c r="D47" s="49">
        <v>-57572</v>
      </c>
      <c r="E47" s="48">
        <v>-11462</v>
      </c>
      <c r="F47" s="47">
        <v>3255</v>
      </c>
      <c r="G47" s="48">
        <v>-22326</v>
      </c>
      <c r="H47" s="47">
        <v>-27731</v>
      </c>
      <c r="I47" s="48">
        <v>-37012</v>
      </c>
      <c r="J47" s="49">
        <v>-26595</v>
      </c>
      <c r="K47" s="48">
        <v>-27559</v>
      </c>
      <c r="L47" s="49">
        <v>-36185</v>
      </c>
      <c r="M47" s="48">
        <v>-82196</v>
      </c>
      <c r="N47" s="49">
        <v>-104564</v>
      </c>
      <c r="O47" s="48">
        <v>-11420</v>
      </c>
      <c r="P47" s="49">
        <v>-40717</v>
      </c>
      <c r="Q47" s="48">
        <v>-26646</v>
      </c>
      <c r="R47" s="49">
        <v>-486772</v>
      </c>
      <c r="S47" s="48">
        <v>12773</v>
      </c>
      <c r="T47" s="49">
        <v>10939</v>
      </c>
      <c r="U47" s="48">
        <v>36099</v>
      </c>
      <c r="V47" s="49">
        <v>13434</v>
      </c>
    </row>
    <row r="48" spans="2:22" s="2" customFormat="1" ht="12" x14ac:dyDescent="0.2">
      <c r="B48" s="8" t="s">
        <v>462</v>
      </c>
      <c r="C48" s="41">
        <f t="shared" ref="C48:K48" si="7">+C46+C47</f>
        <v>-87963</v>
      </c>
      <c r="D48" s="22">
        <f t="shared" si="7"/>
        <v>2133074</v>
      </c>
      <c r="E48" s="41">
        <f t="shared" si="7"/>
        <v>57656</v>
      </c>
      <c r="F48" s="21">
        <f t="shared" si="7"/>
        <v>376252</v>
      </c>
      <c r="G48" s="41">
        <f t="shared" si="7"/>
        <v>153775</v>
      </c>
      <c r="H48" s="21">
        <f t="shared" si="7"/>
        <v>2290940</v>
      </c>
      <c r="I48" s="41">
        <f t="shared" si="7"/>
        <v>1007666</v>
      </c>
      <c r="J48" s="21">
        <f t="shared" si="7"/>
        <v>3257979</v>
      </c>
      <c r="K48" s="41">
        <f t="shared" si="7"/>
        <v>-401881</v>
      </c>
      <c r="L48" s="21">
        <f t="shared" ref="L48:R48" si="8">+L46+L47</f>
        <v>3172250</v>
      </c>
      <c r="M48" s="41">
        <f t="shared" si="8"/>
        <v>1961275</v>
      </c>
      <c r="N48" s="21">
        <f t="shared" si="8"/>
        <v>8497674</v>
      </c>
      <c r="O48" s="41">
        <f t="shared" si="8"/>
        <v>8281522</v>
      </c>
      <c r="P48" s="21">
        <f t="shared" si="8"/>
        <v>12215492</v>
      </c>
      <c r="Q48" s="41">
        <f t="shared" si="8"/>
        <v>8638420</v>
      </c>
      <c r="R48" s="21">
        <f t="shared" si="8"/>
        <v>15471194</v>
      </c>
      <c r="S48" s="222">
        <f t="shared" ref="S48:T48" si="9">+S46+S47</f>
        <v>-1415901</v>
      </c>
      <c r="T48" s="225">
        <f t="shared" si="9"/>
        <v>7761778</v>
      </c>
      <c r="U48" s="222">
        <f t="shared" ref="U48" si="10">+U46+U47</f>
        <v>-7463887</v>
      </c>
      <c r="V48" s="225">
        <f>+V46+V47</f>
        <v>-2237985</v>
      </c>
    </row>
    <row r="49" spans="2:22" s="1" customFormat="1" ht="12" x14ac:dyDescent="0.2">
      <c r="C49" s="39"/>
      <c r="D49" s="49"/>
      <c r="E49" s="39"/>
      <c r="F49" s="16"/>
      <c r="G49" s="39"/>
      <c r="H49" s="16"/>
      <c r="I49" s="39"/>
      <c r="J49" s="18"/>
      <c r="K49" s="39"/>
      <c r="L49" s="18"/>
      <c r="M49" s="39"/>
      <c r="N49" s="18"/>
      <c r="O49" s="39"/>
      <c r="P49" s="18"/>
      <c r="Q49" s="39"/>
      <c r="R49" s="18"/>
      <c r="S49" s="39"/>
      <c r="T49" s="18"/>
      <c r="U49" s="39"/>
      <c r="V49" s="18"/>
    </row>
    <row r="50" spans="2:22" s="1" customFormat="1" ht="12" x14ac:dyDescent="0.2">
      <c r="B50" s="1" t="s">
        <v>105</v>
      </c>
      <c r="C50" s="39"/>
      <c r="D50" s="49">
        <f>-10349+820</f>
        <v>-9529</v>
      </c>
      <c r="E50" s="39"/>
      <c r="F50" s="16">
        <f>-F44</f>
        <v>17088</v>
      </c>
      <c r="G50" s="36">
        <f>-G44</f>
        <v>-30910</v>
      </c>
      <c r="H50" s="16">
        <f>-H44</f>
        <v>-361</v>
      </c>
      <c r="I50" s="36">
        <v>11870</v>
      </c>
      <c r="J50" s="18">
        <v>46598</v>
      </c>
      <c r="K50" s="36">
        <v>39360</v>
      </c>
      <c r="L50" s="18">
        <f>-L44</f>
        <v>-24842</v>
      </c>
      <c r="M50" s="36">
        <v>25081</v>
      </c>
      <c r="N50" s="18">
        <f t="shared" ref="N50:S50" si="11">-N44</f>
        <v>35820</v>
      </c>
      <c r="O50" s="36">
        <f t="shared" si="11"/>
        <v>314438</v>
      </c>
      <c r="P50" s="18">
        <f t="shared" si="11"/>
        <v>205494</v>
      </c>
      <c r="Q50" s="36">
        <f t="shared" si="11"/>
        <v>-181682</v>
      </c>
      <c r="R50" s="18">
        <f t="shared" si="11"/>
        <v>-376573</v>
      </c>
      <c r="S50" s="36">
        <f t="shared" si="11"/>
        <v>113061</v>
      </c>
      <c r="T50" s="18">
        <f>-T44</f>
        <v>9915</v>
      </c>
      <c r="U50" s="36">
        <f t="shared" ref="U50" si="12">-U44</f>
        <v>141980</v>
      </c>
      <c r="V50" s="18">
        <f>-V44</f>
        <v>137277</v>
      </c>
    </row>
    <row r="51" spans="2:22" s="1" customFormat="1" ht="12" x14ac:dyDescent="0.2">
      <c r="B51" s="1" t="s">
        <v>108</v>
      </c>
      <c r="C51" s="16"/>
      <c r="D51" s="16">
        <f>568594-(207871-73774)</f>
        <v>434497</v>
      </c>
      <c r="E51" s="16"/>
      <c r="F51" s="16">
        <f>-SUM(F42:F43)</f>
        <v>94065</v>
      </c>
      <c r="G51" s="35">
        <v>79035</v>
      </c>
      <c r="H51" s="16">
        <v>218452</v>
      </c>
      <c r="I51" s="36">
        <f t="shared" ref="I51:Q51" si="13">-SUM(I42:I43)</f>
        <v>175378</v>
      </c>
      <c r="J51" s="16">
        <f t="shared" si="13"/>
        <v>255472</v>
      </c>
      <c r="K51" s="36">
        <f t="shared" si="13"/>
        <v>136052</v>
      </c>
      <c r="L51" s="16">
        <f t="shared" si="13"/>
        <v>246715</v>
      </c>
      <c r="M51" s="36">
        <f t="shared" si="13"/>
        <v>247854</v>
      </c>
      <c r="N51" s="16">
        <v>551647</v>
      </c>
      <c r="O51" s="36">
        <f t="shared" ref="O51" si="14">-SUM(O42:O43)</f>
        <v>448944</v>
      </c>
      <c r="P51" s="16">
        <f>-SUM(P42:P43)</f>
        <v>871583</v>
      </c>
      <c r="Q51" s="36">
        <f t="shared" si="13"/>
        <v>520068</v>
      </c>
      <c r="R51" s="16">
        <f>-SUM(R42:R43)</f>
        <v>1161491</v>
      </c>
      <c r="S51" s="36">
        <f>-SUM(S42:S43)</f>
        <v>458573</v>
      </c>
      <c r="T51" s="16">
        <f>-SUM(T42:T43)</f>
        <v>998145</v>
      </c>
      <c r="U51" s="36">
        <v>972928</v>
      </c>
      <c r="V51" s="16">
        <f>-SUM(V42:V43)</f>
        <v>2087893</v>
      </c>
    </row>
    <row r="52" spans="2:22" s="1" customFormat="1" ht="12" x14ac:dyDescent="0.2">
      <c r="B52" s="1" t="s">
        <v>111</v>
      </c>
      <c r="C52" s="39"/>
      <c r="D52" s="18">
        <v>83078</v>
      </c>
      <c r="E52" s="39"/>
      <c r="F52" s="16">
        <v>237180</v>
      </c>
      <c r="G52" s="35">
        <v>21728</v>
      </c>
      <c r="H52" s="16">
        <v>164766</v>
      </c>
      <c r="I52" s="36">
        <v>192562</v>
      </c>
      <c r="J52" s="18">
        <v>435034</v>
      </c>
      <c r="K52" s="36">
        <v>240009</v>
      </c>
      <c r="L52" s="18">
        <v>498747</v>
      </c>
      <c r="M52" s="36">
        <f>CF!M8</f>
        <v>387729</v>
      </c>
      <c r="N52" s="49">
        <f>CF!N8</f>
        <v>779822</v>
      </c>
      <c r="O52" s="36">
        <f>CF!O8</f>
        <v>451639</v>
      </c>
      <c r="P52" s="49">
        <f>CF!P8</f>
        <v>929337</v>
      </c>
      <c r="Q52" s="36">
        <f>CF!Q8</f>
        <v>574259</v>
      </c>
      <c r="R52" s="49">
        <f>CF!R8</f>
        <v>1250526</v>
      </c>
      <c r="S52" s="36">
        <f>CF!S8</f>
        <v>843947</v>
      </c>
      <c r="T52" s="49">
        <f>CF!T8</f>
        <v>1378639</v>
      </c>
      <c r="U52" s="36">
        <f>CF!U8</f>
        <v>540317</v>
      </c>
      <c r="V52" s="49">
        <v>1231519</v>
      </c>
    </row>
    <row r="53" spans="2:22" s="1" customFormat="1" ht="12" x14ac:dyDescent="0.2">
      <c r="B53" s="1" t="s">
        <v>109</v>
      </c>
      <c r="C53" s="39"/>
      <c r="D53" s="18">
        <v>-1684118</v>
      </c>
      <c r="E53" s="39"/>
      <c r="F53" s="16">
        <v>1340056</v>
      </c>
      <c r="G53" s="35">
        <v>-287668</v>
      </c>
      <c r="H53" s="16">
        <v>-1823046</v>
      </c>
      <c r="I53" s="36">
        <v>757166</v>
      </c>
      <c r="J53" s="18">
        <v>-669958</v>
      </c>
      <c r="K53" s="36">
        <v>2255620</v>
      </c>
      <c r="L53" s="18">
        <v>-468215</v>
      </c>
      <c r="M53" s="36">
        <v>-281467</v>
      </c>
      <c r="N53" s="18">
        <f t="shared" ref="N53:S53" si="15">-N24</f>
        <v>-3169547</v>
      </c>
      <c r="O53" s="36">
        <f t="shared" si="15"/>
        <v>-1454975</v>
      </c>
      <c r="P53" s="18">
        <f t="shared" si="15"/>
        <v>-1611575</v>
      </c>
      <c r="Q53" s="36">
        <f t="shared" si="15"/>
        <v>-3123470</v>
      </c>
      <c r="R53" s="18">
        <f t="shared" si="15"/>
        <v>-6245864</v>
      </c>
      <c r="S53" s="36">
        <f t="shared" si="15"/>
        <v>7977496</v>
      </c>
      <c r="T53" s="18">
        <f>-T24</f>
        <v>2506447</v>
      </c>
      <c r="U53" s="36">
        <f t="shared" ref="U53" si="16">-U24</f>
        <v>8327823</v>
      </c>
      <c r="V53" s="18">
        <f>-V24</f>
        <v>4406795</v>
      </c>
    </row>
    <row r="54" spans="2:22" s="1" customFormat="1" ht="12" x14ac:dyDescent="0.2">
      <c r="B54" s="1" t="s">
        <v>110</v>
      </c>
      <c r="C54" s="39"/>
      <c r="D54" s="18">
        <v>0</v>
      </c>
      <c r="E54" s="39"/>
      <c r="F54" s="16">
        <v>0</v>
      </c>
      <c r="G54" s="39">
        <v>0</v>
      </c>
      <c r="H54" s="16">
        <v>95121</v>
      </c>
      <c r="I54" s="39">
        <v>0</v>
      </c>
      <c r="J54" s="18">
        <v>80189</v>
      </c>
      <c r="K54" s="39">
        <v>0</v>
      </c>
      <c r="L54" s="18">
        <v>0</v>
      </c>
      <c r="M54" s="39">
        <v>5460</v>
      </c>
      <c r="N54" s="18">
        <v>5460</v>
      </c>
      <c r="O54" s="39">
        <v>325094</v>
      </c>
      <c r="P54" s="18">
        <v>325311</v>
      </c>
      <c r="Q54" s="39">
        <v>0</v>
      </c>
      <c r="R54" s="18">
        <v>650813</v>
      </c>
      <c r="S54" s="39">
        <v>0</v>
      </c>
      <c r="T54" s="18">
        <v>117205</v>
      </c>
      <c r="U54" s="39">
        <v>0</v>
      </c>
      <c r="V54" s="18">
        <v>126152</v>
      </c>
    </row>
    <row r="55" spans="2:22" s="1" customFormat="1" ht="12" x14ac:dyDescent="0.2">
      <c r="B55" s="1" t="s">
        <v>452</v>
      </c>
      <c r="C55" s="39"/>
      <c r="D55" s="18">
        <v>0</v>
      </c>
      <c r="E55" s="39"/>
      <c r="F55" s="16">
        <v>0</v>
      </c>
      <c r="G55" s="39">
        <v>0</v>
      </c>
      <c r="H55" s="16">
        <v>0</v>
      </c>
      <c r="I55" s="39">
        <v>0</v>
      </c>
      <c r="J55" s="18">
        <v>0</v>
      </c>
      <c r="K55" s="39">
        <v>0</v>
      </c>
      <c r="L55" s="18">
        <v>0</v>
      </c>
      <c r="M55" s="39">
        <v>-10632</v>
      </c>
      <c r="N55" s="18">
        <v>-50397</v>
      </c>
      <c r="O55" s="39">
        <v>-142948</v>
      </c>
      <c r="P55" s="18">
        <v>-44006</v>
      </c>
      <c r="Q55" s="39">
        <v>-171223</v>
      </c>
      <c r="R55" s="18">
        <v>51663</v>
      </c>
      <c r="S55" s="39">
        <v>-253055</v>
      </c>
      <c r="T55" s="18">
        <v>49743</v>
      </c>
      <c r="U55" s="39">
        <v>-111615</v>
      </c>
      <c r="V55" s="18">
        <v>-37667</v>
      </c>
    </row>
    <row r="56" spans="2:22" s="1" customFormat="1" ht="12" x14ac:dyDescent="0.2">
      <c r="B56" s="1" t="s">
        <v>450</v>
      </c>
      <c r="C56" s="39"/>
      <c r="D56" s="18">
        <v>0</v>
      </c>
      <c r="E56" s="39"/>
      <c r="F56" s="16">
        <v>0</v>
      </c>
      <c r="G56" s="39">
        <v>0</v>
      </c>
      <c r="H56" s="16">
        <v>0</v>
      </c>
      <c r="I56" s="39">
        <v>0</v>
      </c>
      <c r="J56" s="18">
        <v>0</v>
      </c>
      <c r="K56" s="39">
        <v>0</v>
      </c>
      <c r="L56" s="18">
        <v>0</v>
      </c>
      <c r="M56" s="39">
        <v>0</v>
      </c>
      <c r="N56" s="18">
        <v>0</v>
      </c>
      <c r="O56" s="39">
        <v>0</v>
      </c>
      <c r="P56" s="18">
        <v>0</v>
      </c>
      <c r="Q56" s="39">
        <v>0</v>
      </c>
      <c r="R56" s="18">
        <f>CF!R14</f>
        <v>269360</v>
      </c>
      <c r="S56" s="39">
        <v>0</v>
      </c>
      <c r="T56" s="18">
        <f>CF!T14</f>
        <v>0</v>
      </c>
      <c r="U56" s="39">
        <v>0</v>
      </c>
      <c r="V56" s="18">
        <f>CF!V14</f>
        <v>0</v>
      </c>
    </row>
    <row r="57" spans="2:22" s="1" customFormat="1" ht="12" x14ac:dyDescent="0.2">
      <c r="B57" s="1" t="s">
        <v>461</v>
      </c>
      <c r="C57" s="39"/>
      <c r="D57" s="18">
        <v>0</v>
      </c>
      <c r="E57" s="39"/>
      <c r="F57" s="16">
        <v>0</v>
      </c>
      <c r="G57" s="39">
        <v>0</v>
      </c>
      <c r="H57" s="16">
        <v>0</v>
      </c>
      <c r="I57" s="39">
        <v>0</v>
      </c>
      <c r="J57" s="18">
        <v>0</v>
      </c>
      <c r="K57" s="39">
        <v>0</v>
      </c>
      <c r="L57" s="18">
        <v>-86239</v>
      </c>
      <c r="M57" s="39">
        <v>0</v>
      </c>
      <c r="N57" s="18">
        <v>0</v>
      </c>
      <c r="O57" s="39">
        <v>0</v>
      </c>
      <c r="P57" s="18">
        <v>0</v>
      </c>
      <c r="Q57" s="39">
        <v>0</v>
      </c>
      <c r="R57" s="18">
        <v>0</v>
      </c>
      <c r="S57" s="39">
        <v>0</v>
      </c>
      <c r="T57" s="18">
        <v>0</v>
      </c>
      <c r="U57" s="39">
        <v>0</v>
      </c>
      <c r="V57" s="18">
        <v>0</v>
      </c>
    </row>
    <row r="58" spans="2:22" s="1" customFormat="1" ht="12" x14ac:dyDescent="0.2">
      <c r="B58" s="1" t="s">
        <v>473</v>
      </c>
      <c r="C58" s="39"/>
      <c r="D58" s="18">
        <v>0</v>
      </c>
      <c r="E58" s="39"/>
      <c r="F58" s="16">
        <v>0</v>
      </c>
      <c r="G58" s="39">
        <v>0</v>
      </c>
      <c r="H58" s="16">
        <v>0</v>
      </c>
      <c r="I58" s="39">
        <v>0</v>
      </c>
      <c r="J58" s="18">
        <v>0</v>
      </c>
      <c r="K58" s="39">
        <v>0</v>
      </c>
      <c r="L58" s="18">
        <v>0</v>
      </c>
      <c r="M58" s="39">
        <v>0</v>
      </c>
      <c r="N58" s="18">
        <v>0</v>
      </c>
      <c r="O58" s="39">
        <v>0</v>
      </c>
      <c r="P58" s="18">
        <v>0</v>
      </c>
      <c r="Q58" s="39">
        <v>0</v>
      </c>
      <c r="R58" s="18">
        <v>0</v>
      </c>
      <c r="S58" s="39">
        <v>0</v>
      </c>
      <c r="T58" s="18">
        <v>0</v>
      </c>
      <c r="U58" s="39">
        <v>92440</v>
      </c>
      <c r="V58" s="18">
        <v>0</v>
      </c>
    </row>
    <row r="59" spans="2:22" s="1" customFormat="1" ht="12" x14ac:dyDescent="0.2">
      <c r="B59" s="1" t="s">
        <v>465</v>
      </c>
      <c r="C59" s="39">
        <v>0</v>
      </c>
      <c r="D59" s="18">
        <v>0</v>
      </c>
      <c r="E59" s="39">
        <v>0</v>
      </c>
      <c r="F59" s="16">
        <v>0</v>
      </c>
      <c r="G59" s="39">
        <v>0</v>
      </c>
      <c r="H59" s="16">
        <v>0</v>
      </c>
      <c r="I59" s="39">
        <v>0</v>
      </c>
      <c r="J59" s="18">
        <v>0</v>
      </c>
      <c r="K59" s="39">
        <v>0</v>
      </c>
      <c r="L59" s="18">
        <v>0</v>
      </c>
      <c r="M59" s="39">
        <v>0</v>
      </c>
      <c r="N59" s="18">
        <v>0</v>
      </c>
      <c r="O59" s="39">
        <v>0</v>
      </c>
      <c r="P59" s="18">
        <v>0</v>
      </c>
      <c r="Q59" s="39">
        <v>0</v>
      </c>
      <c r="R59" s="18">
        <v>0</v>
      </c>
      <c r="S59" s="39">
        <v>-186668</v>
      </c>
      <c r="T59" s="18">
        <v>-186603</v>
      </c>
      <c r="U59" s="39">
        <v>0</v>
      </c>
      <c r="V59" s="18">
        <v>0</v>
      </c>
    </row>
    <row r="60" spans="2:22" s="1" customFormat="1" ht="12" x14ac:dyDescent="0.2">
      <c r="B60" s="1" t="s">
        <v>451</v>
      </c>
      <c r="C60" s="39"/>
      <c r="D60" s="18">
        <v>0</v>
      </c>
      <c r="E60" s="39"/>
      <c r="F60" s="16">
        <v>0</v>
      </c>
      <c r="G60" s="39">
        <v>0</v>
      </c>
      <c r="H60" s="16">
        <v>0</v>
      </c>
      <c r="I60" s="39">
        <v>0</v>
      </c>
      <c r="J60" s="18">
        <v>0</v>
      </c>
      <c r="K60" s="39">
        <v>0</v>
      </c>
      <c r="L60" s="18">
        <v>0</v>
      </c>
      <c r="M60" s="39">
        <v>0</v>
      </c>
      <c r="N60" s="18">
        <v>0</v>
      </c>
      <c r="O60" s="39">
        <v>0</v>
      </c>
      <c r="P60" s="18">
        <v>0</v>
      </c>
      <c r="Q60" s="39">
        <v>0</v>
      </c>
      <c r="R60" s="18">
        <f>CF!R27</f>
        <v>146000</v>
      </c>
      <c r="S60" s="39">
        <v>-146000</v>
      </c>
      <c r="T60" s="18">
        <f>CF!T27</f>
        <v>-146000</v>
      </c>
      <c r="U60" s="39">
        <v>0</v>
      </c>
      <c r="V60" s="18">
        <f>CF!V27</f>
        <v>0</v>
      </c>
    </row>
    <row r="61" spans="2:22" s="2" customFormat="1" ht="12.75" thickBot="1" x14ac:dyDescent="0.25">
      <c r="B61" s="7" t="s">
        <v>86</v>
      </c>
      <c r="C61" s="40"/>
      <c r="D61" s="20">
        <f>D46+D50+D51+D53+D52+D54+D55+D56+D60+D57+D59+D58</f>
        <v>1014574</v>
      </c>
      <c r="E61" s="40"/>
      <c r="F61" s="19">
        <f>F46+F50+F51+F53+F52+F54+F55+F56+F60+F57+F59+F58</f>
        <v>2061386</v>
      </c>
      <c r="G61" s="40">
        <f t="shared" ref="G61:U61" si="17">G46+G50+G51+G53+G52+G54+G55+G56+G60+G57+G59+G58</f>
        <v>-41714</v>
      </c>
      <c r="H61" s="19">
        <f t="shared" si="17"/>
        <v>973603</v>
      </c>
      <c r="I61" s="40">
        <f t="shared" si="17"/>
        <v>2181654</v>
      </c>
      <c r="J61" s="20">
        <f t="shared" si="17"/>
        <v>3431909</v>
      </c>
      <c r="K61" s="40">
        <f t="shared" si="17"/>
        <v>2296719</v>
      </c>
      <c r="L61" s="20">
        <f t="shared" si="17"/>
        <v>3374601</v>
      </c>
      <c r="M61" s="40">
        <f t="shared" si="17"/>
        <v>2417496</v>
      </c>
      <c r="N61" s="204">
        <f t="shared" si="17"/>
        <v>6755043</v>
      </c>
      <c r="O61" s="40">
        <f t="shared" si="17"/>
        <v>8235134</v>
      </c>
      <c r="P61" s="204">
        <f t="shared" si="17"/>
        <v>12932353</v>
      </c>
      <c r="Q61" s="205">
        <f t="shared" si="17"/>
        <v>6283018</v>
      </c>
      <c r="R61" s="204">
        <f t="shared" si="17"/>
        <v>12865382</v>
      </c>
      <c r="S61" s="205">
        <f t="shared" si="17"/>
        <v>7378680</v>
      </c>
      <c r="T61" s="204">
        <f t="shared" si="17"/>
        <v>12478330</v>
      </c>
      <c r="U61" s="205">
        <f t="shared" si="17"/>
        <v>2463887</v>
      </c>
      <c r="V61" s="204">
        <f>V46+V50+V51+V53+V52+V54+V55+V56+V60+V57+V59+V58</f>
        <v>5700550</v>
      </c>
    </row>
    <row r="62" spans="2:22" s="1" customFormat="1" ht="12.75" thickTop="1" x14ac:dyDescent="0.2">
      <c r="C62" s="39"/>
      <c r="D62" s="18"/>
      <c r="E62" s="39"/>
      <c r="F62" s="16"/>
      <c r="G62" s="39"/>
      <c r="H62" s="16"/>
      <c r="I62" s="39"/>
      <c r="J62" s="18"/>
      <c r="K62" s="39"/>
      <c r="L62" s="18"/>
      <c r="M62" s="39"/>
      <c r="N62" s="18"/>
      <c r="O62" s="39"/>
      <c r="P62" s="18"/>
      <c r="Q62" s="39"/>
      <c r="R62" s="18"/>
      <c r="S62" s="39"/>
      <c r="T62" s="18"/>
      <c r="U62" s="39"/>
      <c r="V62" s="18"/>
    </row>
    <row r="63" spans="2:22" x14ac:dyDescent="0.25">
      <c r="B63" s="1" t="s">
        <v>184</v>
      </c>
    </row>
    <row r="64" spans="2:22" x14ac:dyDescent="0.25">
      <c r="B64" s="1" t="s">
        <v>185</v>
      </c>
    </row>
    <row r="65" spans="2:2" x14ac:dyDescent="0.25">
      <c r="B65" s="1" t="s">
        <v>191</v>
      </c>
    </row>
    <row r="67" spans="2:2" ht="23.25" x14ac:dyDescent="0.35">
      <c r="B67" s="229" t="s">
        <v>476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90"/>
  <sheetViews>
    <sheetView showGridLines="0" zoomScale="90" zoomScaleNormal="90" workbookViewId="0">
      <pane xSplit="2" ySplit="1" topLeftCell="C62" activePane="bottomRight" state="frozen"/>
      <selection pane="topRight" activeCell="C1" sqref="C1"/>
      <selection pane="bottomLeft" activeCell="A2" sqref="A2"/>
      <selection pane="bottomRight" activeCell="B90" sqref="B90"/>
    </sheetView>
  </sheetViews>
  <sheetFormatPr defaultRowHeight="15" outlineLevelCol="1" x14ac:dyDescent="0.25"/>
  <cols>
    <col min="1" max="1" width="2.42578125" customWidth="1"/>
    <col min="2" max="2" width="47.5703125" customWidth="1"/>
    <col min="3" max="3" width="8.7109375" hidden="1" customWidth="1" outlineLevel="1"/>
    <col min="4" max="4" width="11.28515625" customWidth="1" collapsed="1"/>
    <col min="5" max="5" width="8.7109375" hidden="1" customWidth="1" outlineLevel="1"/>
    <col min="6" max="6" width="10" customWidth="1" collapsed="1"/>
    <col min="7" max="7" width="8.7109375" hidden="1" customWidth="1" outlineLevel="1"/>
    <col min="8" max="8" width="12" customWidth="1" collapsed="1"/>
    <col min="9" max="9" width="8.7109375" hidden="1" customWidth="1" outlineLevel="1"/>
    <col min="10" max="10" width="10.28515625" customWidth="1" collapsed="1"/>
    <col min="11" max="11" width="8.7109375" hidden="1" customWidth="1" outlineLevel="1"/>
    <col min="12" max="12" width="11.7109375" customWidth="1" collapsed="1"/>
    <col min="13" max="13" width="8.7109375" hidden="1" customWidth="1" outlineLevel="1"/>
    <col min="14" max="14" width="11.5703125" customWidth="1" collapsed="1"/>
    <col min="15" max="15" width="8.7109375" hidden="1" customWidth="1" outlineLevel="1"/>
    <col min="16" max="16" width="11.5703125" customWidth="1" collapsed="1"/>
    <col min="17" max="17" width="8.7109375" hidden="1" customWidth="1" outlineLevel="1"/>
    <col min="18" max="18" width="11.28515625" customWidth="1" collapsed="1"/>
    <col min="19" max="19" width="10.7109375" hidden="1" customWidth="1" outlineLevel="1"/>
    <col min="20" max="20" width="11.28515625" customWidth="1" collapsed="1"/>
    <col min="21" max="21" width="10.7109375" hidden="1" customWidth="1" outlineLevel="1"/>
    <col min="22" max="22" width="11.28515625" customWidth="1" collapsed="1"/>
  </cols>
  <sheetData>
    <row r="1" spans="2:22" s="33" customFormat="1" ht="21" customHeight="1" x14ac:dyDescent="0.25">
      <c r="B1" s="31"/>
      <c r="C1" s="34" t="s">
        <v>99</v>
      </c>
      <c r="D1" s="32">
        <v>2016</v>
      </c>
      <c r="E1" s="34" t="s">
        <v>89</v>
      </c>
      <c r="F1" s="31">
        <v>2017</v>
      </c>
      <c r="G1" s="34" t="s">
        <v>90</v>
      </c>
      <c r="H1" s="31">
        <v>2018</v>
      </c>
      <c r="I1" s="34" t="s">
        <v>91</v>
      </c>
      <c r="J1" s="32">
        <v>2019</v>
      </c>
      <c r="K1" s="34" t="s">
        <v>127</v>
      </c>
      <c r="L1" s="32">
        <v>2020</v>
      </c>
      <c r="M1" s="34" t="s">
        <v>128</v>
      </c>
      <c r="N1" s="32">
        <v>2021</v>
      </c>
      <c r="O1" s="34" t="s">
        <v>436</v>
      </c>
      <c r="P1" s="32">
        <v>2022</v>
      </c>
      <c r="Q1" s="34" t="s">
        <v>437</v>
      </c>
      <c r="R1" s="32">
        <v>2023</v>
      </c>
      <c r="S1" s="34" t="s">
        <v>463</v>
      </c>
      <c r="T1" s="32">
        <v>2024</v>
      </c>
      <c r="U1" s="34" t="s">
        <v>472</v>
      </c>
      <c r="V1" s="32">
        <v>2025</v>
      </c>
    </row>
    <row r="3" spans="2:22" s="2" customFormat="1" ht="18" x14ac:dyDescent="0.25">
      <c r="B3" s="28" t="s">
        <v>41</v>
      </c>
      <c r="C3" s="37"/>
      <c r="D3" s="30"/>
      <c r="E3" s="37"/>
      <c r="F3" s="29"/>
      <c r="G3" s="37"/>
      <c r="H3" s="29"/>
      <c r="I3" s="37"/>
      <c r="J3" s="30"/>
      <c r="K3" s="37"/>
      <c r="L3" s="30"/>
      <c r="M3" s="37"/>
      <c r="N3" s="30"/>
      <c r="O3" s="37"/>
      <c r="P3" s="30"/>
      <c r="Q3" s="37"/>
      <c r="R3" s="30"/>
      <c r="S3" s="37"/>
      <c r="T3" s="30"/>
      <c r="U3" s="37"/>
      <c r="V3" s="30"/>
    </row>
    <row r="4" spans="2:22" s="1" customFormat="1" ht="12" x14ac:dyDescent="0.2">
      <c r="B4" s="1" t="s">
        <v>10</v>
      </c>
      <c r="C4" s="39"/>
      <c r="D4" s="18"/>
      <c r="E4" s="39"/>
      <c r="F4" s="16"/>
      <c r="G4" s="39"/>
      <c r="H4" s="16"/>
      <c r="I4" s="39"/>
      <c r="J4" s="18"/>
      <c r="K4" s="39"/>
      <c r="L4" s="18"/>
      <c r="M4" s="39"/>
      <c r="N4" s="18"/>
      <c r="O4" s="39"/>
      <c r="P4" s="18"/>
      <c r="Q4" s="39"/>
      <c r="R4" s="18"/>
      <c r="S4" s="39"/>
      <c r="T4" s="18"/>
      <c r="U4" s="39"/>
      <c r="V4" s="18"/>
    </row>
    <row r="5" spans="2:22" s="1" customFormat="1" ht="12" x14ac:dyDescent="0.2">
      <c r="C5" s="39"/>
      <c r="D5" s="18"/>
      <c r="E5" s="39"/>
      <c r="F5" s="16"/>
      <c r="G5" s="39"/>
      <c r="H5" s="16"/>
      <c r="I5" s="39"/>
      <c r="J5" s="18"/>
      <c r="K5" s="39"/>
      <c r="L5" s="18"/>
      <c r="M5" s="39"/>
      <c r="N5" s="18"/>
      <c r="O5" s="39"/>
      <c r="P5" s="18"/>
      <c r="Q5" s="39"/>
      <c r="R5" s="18"/>
      <c r="S5" s="39"/>
      <c r="T5" s="18"/>
      <c r="U5" s="39"/>
      <c r="V5" s="18"/>
    </row>
    <row r="6" spans="2:22" s="1" customFormat="1" ht="12" x14ac:dyDescent="0.2">
      <c r="B6" s="9" t="s">
        <v>42</v>
      </c>
      <c r="C6" s="42">
        <v>-64614</v>
      </c>
      <c r="D6" s="24">
        <v>2190646</v>
      </c>
      <c r="E6" s="42">
        <v>69118</v>
      </c>
      <c r="F6" s="23">
        <f>+PL!F46</f>
        <v>372997</v>
      </c>
      <c r="G6" s="42">
        <f>+PL!G46</f>
        <v>176101</v>
      </c>
      <c r="H6" s="23">
        <v>2318671</v>
      </c>
      <c r="I6" s="42">
        <v>1044678</v>
      </c>
      <c r="J6" s="24">
        <v>3284574</v>
      </c>
      <c r="K6" s="42">
        <v>-374322</v>
      </c>
      <c r="L6" s="24">
        <v>3208435</v>
      </c>
      <c r="M6" s="42">
        <v>2043471</v>
      </c>
      <c r="N6" s="24">
        <v>8596775</v>
      </c>
      <c r="O6" s="42">
        <v>8291686</v>
      </c>
      <c r="P6" s="24">
        <v>12066467</v>
      </c>
      <c r="Q6" s="42">
        <v>8665066</v>
      </c>
      <c r="R6" s="24">
        <v>15957966</v>
      </c>
      <c r="S6" s="42">
        <v>-1428674</v>
      </c>
      <c r="T6" s="24">
        <v>7750839</v>
      </c>
      <c r="U6" s="42">
        <v>-7499986</v>
      </c>
      <c r="V6" s="24">
        <v>-2251419</v>
      </c>
    </row>
    <row r="7" spans="2:22" s="1" customFormat="1" ht="12" x14ac:dyDescent="0.2">
      <c r="B7" s="1" t="s">
        <v>43</v>
      </c>
      <c r="C7" s="39"/>
      <c r="D7" s="18"/>
      <c r="E7" s="39"/>
      <c r="F7" s="16"/>
      <c r="G7" s="39"/>
      <c r="H7" s="16"/>
      <c r="I7" s="39"/>
      <c r="J7" s="18"/>
      <c r="K7" s="39"/>
      <c r="L7" s="18"/>
      <c r="M7" s="39"/>
      <c r="N7" s="18"/>
      <c r="O7" s="39"/>
      <c r="P7" s="18"/>
      <c r="Q7" s="39"/>
      <c r="R7" s="18"/>
      <c r="S7" s="39"/>
      <c r="T7" s="18"/>
      <c r="U7" s="39"/>
      <c r="V7" s="18"/>
    </row>
    <row r="8" spans="2:22" s="1" customFormat="1" ht="12" x14ac:dyDescent="0.2">
      <c r="B8" s="1" t="s">
        <v>470</v>
      </c>
      <c r="C8" s="48">
        <v>33042</v>
      </c>
      <c r="D8" s="49">
        <v>83078</v>
      </c>
      <c r="E8" s="48">
        <v>152863</v>
      </c>
      <c r="F8" s="47">
        <v>237180</v>
      </c>
      <c r="G8" s="48">
        <v>21728</v>
      </c>
      <c r="H8" s="47">
        <v>164766</v>
      </c>
      <c r="I8" s="48">
        <v>191384</v>
      </c>
      <c r="J8" s="49">
        <v>435034</v>
      </c>
      <c r="K8" s="48">
        <v>240009</v>
      </c>
      <c r="L8" s="49">
        <v>498747</v>
      </c>
      <c r="M8" s="48">
        <v>387729</v>
      </c>
      <c r="N8" s="49">
        <v>779822</v>
      </c>
      <c r="O8" s="48">
        <v>451639</v>
      </c>
      <c r="P8" s="49">
        <v>929337</v>
      </c>
      <c r="Q8" s="48">
        <v>574259</v>
      </c>
      <c r="R8" s="49">
        <v>1250526</v>
      </c>
      <c r="S8" s="48">
        <v>843947</v>
      </c>
      <c r="T8" s="49">
        <v>1378639</v>
      </c>
      <c r="U8" s="48">
        <v>540317</v>
      </c>
      <c r="V8" s="49">
        <v>1231519</v>
      </c>
    </row>
    <row r="9" spans="2:22" s="1" customFormat="1" ht="12" x14ac:dyDescent="0.2">
      <c r="B9" s="1" t="s">
        <v>44</v>
      </c>
      <c r="C9" s="48">
        <f>+PL!C42*-1</f>
        <v>-16138</v>
      </c>
      <c r="D9" s="49">
        <f>+PL!D42*-1</f>
        <v>-17858</v>
      </c>
      <c r="E9" s="48">
        <f>+PL!E42*-1</f>
        <v>-3178</v>
      </c>
      <c r="F9" s="47">
        <f>+PL!F42*-1</f>
        <v>-20626</v>
      </c>
      <c r="G9" s="48">
        <f>+PL!G42*-1</f>
        <v>-14923</v>
      </c>
      <c r="H9" s="47">
        <v>-29410</v>
      </c>
      <c r="I9" s="48">
        <v>-22742</v>
      </c>
      <c r="J9" s="49">
        <v>-30456</v>
      </c>
      <c r="K9" s="48">
        <v>-6504</v>
      </c>
      <c r="L9" s="49">
        <f>+PL!L42*-1</f>
        <v>-12130</v>
      </c>
      <c r="M9" s="48">
        <v>-23164</v>
      </c>
      <c r="N9" s="49">
        <v>-38513</v>
      </c>
      <c r="O9" s="48">
        <v>-29021</v>
      </c>
      <c r="P9" s="49">
        <v>-87749</v>
      </c>
      <c r="Q9" s="48">
        <v>-49156</v>
      </c>
      <c r="R9" s="49">
        <v>-114443</v>
      </c>
      <c r="S9" s="48">
        <v>-127799</v>
      </c>
      <c r="T9" s="49">
        <v>-331980</v>
      </c>
      <c r="U9" s="48">
        <v>-327803</v>
      </c>
      <c r="V9" s="49">
        <v>-725748</v>
      </c>
    </row>
    <row r="10" spans="2:22" s="1" customFormat="1" ht="12" x14ac:dyDescent="0.2">
      <c r="B10" s="1" t="s">
        <v>45</v>
      </c>
      <c r="C10" s="48">
        <f>-PL!C43</f>
        <v>350192</v>
      </c>
      <c r="D10" s="49">
        <f>-PL!D43+185781</f>
        <v>638136</v>
      </c>
      <c r="E10" s="48">
        <f>-PL!E43</f>
        <v>103210</v>
      </c>
      <c r="F10" s="49">
        <v>235563</v>
      </c>
      <c r="G10" s="48">
        <f>-PL!G43</f>
        <v>93962</v>
      </c>
      <c r="H10" s="49">
        <v>326296</v>
      </c>
      <c r="I10" s="48">
        <f>-PL!I43</f>
        <v>198120</v>
      </c>
      <c r="J10" s="49">
        <v>285928</v>
      </c>
      <c r="K10" s="48">
        <v>142556</v>
      </c>
      <c r="L10" s="49">
        <f>-PL!L43</f>
        <v>258845</v>
      </c>
      <c r="M10" s="48">
        <v>271018</v>
      </c>
      <c r="N10" s="49">
        <v>590160</v>
      </c>
      <c r="O10" s="48">
        <v>477965</v>
      </c>
      <c r="P10" s="49">
        <v>959332</v>
      </c>
      <c r="Q10" s="48">
        <v>569224</v>
      </c>
      <c r="R10" s="49">
        <v>1275934</v>
      </c>
      <c r="S10" s="48">
        <v>586372</v>
      </c>
      <c r="T10" s="49">
        <v>1330125</v>
      </c>
      <c r="U10" s="48">
        <v>1300732</v>
      </c>
      <c r="V10" s="49">
        <v>2813641</v>
      </c>
    </row>
    <row r="11" spans="2:22" s="1" customFormat="1" ht="12" x14ac:dyDescent="0.2">
      <c r="B11" s="1" t="s">
        <v>208</v>
      </c>
      <c r="C11" s="48">
        <v>0</v>
      </c>
      <c r="D11" s="49">
        <v>-185781</v>
      </c>
      <c r="E11" s="48">
        <v>0</v>
      </c>
      <c r="F11" s="50">
        <v>-120872</v>
      </c>
      <c r="G11" s="48">
        <v>0</v>
      </c>
      <c r="H11" s="50">
        <f>-78434</f>
        <v>-78434</v>
      </c>
      <c r="I11" s="48">
        <v>0</v>
      </c>
      <c r="J11" s="49">
        <v>0</v>
      </c>
      <c r="K11" s="48">
        <v>0</v>
      </c>
      <c r="L11" s="49">
        <v>0</v>
      </c>
      <c r="M11" s="48">
        <v>0</v>
      </c>
      <c r="N11" s="49">
        <v>0</v>
      </c>
      <c r="O11" s="48">
        <v>0</v>
      </c>
      <c r="P11" s="49">
        <v>0</v>
      </c>
      <c r="Q11" s="48">
        <v>0</v>
      </c>
      <c r="R11" s="49">
        <v>0</v>
      </c>
      <c r="S11" s="48">
        <v>0</v>
      </c>
      <c r="T11" s="49">
        <v>0</v>
      </c>
      <c r="U11" s="48">
        <v>0</v>
      </c>
      <c r="V11" s="49">
        <v>0</v>
      </c>
    </row>
    <row r="12" spans="2:22" s="1" customFormat="1" ht="12" x14ac:dyDescent="0.2">
      <c r="B12" s="1" t="s">
        <v>209</v>
      </c>
      <c r="C12" s="48">
        <f>-PL!C44</f>
        <v>-22862</v>
      </c>
      <c r="D12" s="49">
        <f>-PL!D44</f>
        <v>-9529</v>
      </c>
      <c r="E12" s="48">
        <f>-PL!E44</f>
        <v>7781</v>
      </c>
      <c r="F12" s="47">
        <f>-PL!F44</f>
        <v>17088</v>
      </c>
      <c r="G12" s="48">
        <f>-PL!G44</f>
        <v>-30910</v>
      </c>
      <c r="H12" s="47">
        <v>-362</v>
      </c>
      <c r="I12" s="48">
        <v>11870</v>
      </c>
      <c r="J12" s="49">
        <v>46598</v>
      </c>
      <c r="K12" s="48">
        <v>39360</v>
      </c>
      <c r="L12" s="49">
        <f>-PL!L44</f>
        <v>-24842</v>
      </c>
      <c r="M12" s="48">
        <v>25081</v>
      </c>
      <c r="N12" s="49">
        <v>35820</v>
      </c>
      <c r="O12" s="48">
        <v>314438</v>
      </c>
      <c r="P12" s="49">
        <v>205495</v>
      </c>
      <c r="Q12" s="48">
        <v>-181681</v>
      </c>
      <c r="R12" s="49">
        <v>-376573</v>
      </c>
      <c r="S12" s="48">
        <v>113061</v>
      </c>
      <c r="T12" s="49">
        <v>9915</v>
      </c>
      <c r="U12" s="48">
        <v>141982</v>
      </c>
      <c r="V12" s="49">
        <v>137277</v>
      </c>
    </row>
    <row r="13" spans="2:22" s="1" customFormat="1" ht="12" x14ac:dyDescent="0.2">
      <c r="B13" s="1" t="s">
        <v>210</v>
      </c>
      <c r="C13" s="48">
        <v>624</v>
      </c>
      <c r="D13" s="49">
        <v>2896</v>
      </c>
      <c r="E13" s="48">
        <v>2008</v>
      </c>
      <c r="F13" s="47">
        <v>1389</v>
      </c>
      <c r="G13" s="48">
        <v>-39</v>
      </c>
      <c r="H13" s="47">
        <v>320</v>
      </c>
      <c r="I13" s="48">
        <v>121</v>
      </c>
      <c r="J13" s="49">
        <v>2249</v>
      </c>
      <c r="K13" s="48">
        <v>0</v>
      </c>
      <c r="L13" s="49">
        <v>5945</v>
      </c>
      <c r="M13" s="48">
        <v>22686</v>
      </c>
      <c r="N13" s="49">
        <v>30741</v>
      </c>
      <c r="O13" s="48">
        <v>137</v>
      </c>
      <c r="P13" s="49">
        <v>9534</v>
      </c>
      <c r="Q13" s="48">
        <v>40146</v>
      </c>
      <c r="R13" s="49">
        <v>83485</v>
      </c>
      <c r="S13" s="48">
        <v>-11982</v>
      </c>
      <c r="T13" s="49">
        <v>-7421</v>
      </c>
      <c r="U13" s="48">
        <v>0</v>
      </c>
      <c r="V13" s="49">
        <v>21832</v>
      </c>
    </row>
    <row r="14" spans="2:22" s="1" customFormat="1" ht="12" x14ac:dyDescent="0.2">
      <c r="B14" s="1" t="s">
        <v>448</v>
      </c>
      <c r="C14" s="48">
        <v>0</v>
      </c>
      <c r="D14" s="49">
        <v>0</v>
      </c>
      <c r="E14" s="48">
        <v>0</v>
      </c>
      <c r="F14" s="47">
        <v>0</v>
      </c>
      <c r="G14" s="48">
        <v>0</v>
      </c>
      <c r="H14" s="47">
        <v>0</v>
      </c>
      <c r="I14" s="48">
        <v>0</v>
      </c>
      <c r="J14" s="49">
        <v>0</v>
      </c>
      <c r="K14" s="48">
        <v>0</v>
      </c>
      <c r="L14" s="49">
        <v>0</v>
      </c>
      <c r="M14" s="48">
        <v>0</v>
      </c>
      <c r="N14" s="49">
        <v>0</v>
      </c>
      <c r="O14" s="48">
        <v>0</v>
      </c>
      <c r="P14" s="49">
        <v>0</v>
      </c>
      <c r="Q14" s="48">
        <v>0</v>
      </c>
      <c r="R14" s="49">
        <v>269360</v>
      </c>
      <c r="S14" s="48">
        <v>0</v>
      </c>
      <c r="T14" s="49">
        <v>0</v>
      </c>
      <c r="U14" s="48">
        <v>0</v>
      </c>
      <c r="V14" s="49">
        <v>0</v>
      </c>
    </row>
    <row r="15" spans="2:22" s="1" customFormat="1" ht="12" x14ac:dyDescent="0.2">
      <c r="B15" s="1" t="s">
        <v>211</v>
      </c>
      <c r="C15" s="48">
        <f>+PL!C30*-1</f>
        <v>0</v>
      </c>
      <c r="D15" s="49">
        <f>+PL!D30*-1</f>
        <v>0</v>
      </c>
      <c r="E15" s="48">
        <f>+PL!E30*-1</f>
        <v>0</v>
      </c>
      <c r="F15" s="47">
        <f>+PL!F30*-1</f>
        <v>0</v>
      </c>
      <c r="G15" s="48">
        <f>+PL!G30*-1</f>
        <v>0</v>
      </c>
      <c r="H15" s="47">
        <f>+PL!H30*-1</f>
        <v>-8403</v>
      </c>
      <c r="I15" s="48">
        <v>-32222</v>
      </c>
      <c r="J15" s="49">
        <v>-50313</v>
      </c>
      <c r="K15" s="48">
        <v>-29312</v>
      </c>
      <c r="L15" s="49">
        <f>+PL!L30*-1</f>
        <v>-18081</v>
      </c>
      <c r="M15" s="48">
        <v>0</v>
      </c>
      <c r="N15" s="49">
        <v>0</v>
      </c>
      <c r="O15" s="48">
        <v>0</v>
      </c>
      <c r="P15" s="49">
        <v>0</v>
      </c>
      <c r="Q15" s="48">
        <v>0</v>
      </c>
      <c r="R15" s="49">
        <v>0</v>
      </c>
      <c r="S15" s="48">
        <v>0</v>
      </c>
      <c r="T15" s="49">
        <v>0</v>
      </c>
      <c r="U15" s="48">
        <v>5154</v>
      </c>
      <c r="V15" s="49">
        <v>0</v>
      </c>
    </row>
    <row r="16" spans="2:22" s="1" customFormat="1" ht="12" x14ac:dyDescent="0.2">
      <c r="B16" s="1" t="s">
        <v>212</v>
      </c>
      <c r="C16" s="48">
        <v>70630</v>
      </c>
      <c r="D16" s="49">
        <v>133208</v>
      </c>
      <c r="E16" s="48">
        <v>155944</v>
      </c>
      <c r="F16" s="47">
        <v>177110</v>
      </c>
      <c r="G16" s="48">
        <v>20225</v>
      </c>
      <c r="H16" s="47">
        <v>-17481</v>
      </c>
      <c r="I16" s="48">
        <f>41314</f>
        <v>41314</v>
      </c>
      <c r="J16" s="49">
        <f>428133</f>
        <v>428133</v>
      </c>
      <c r="K16" s="48">
        <f>-23810</f>
        <v>-23810</v>
      </c>
      <c r="L16" s="49">
        <f>-95801</f>
        <v>-95801</v>
      </c>
      <c r="M16" s="48">
        <f>153618</f>
        <v>153618</v>
      </c>
      <c r="N16" s="49">
        <v>153090</v>
      </c>
      <c r="O16" s="48">
        <v>70279</v>
      </c>
      <c r="P16" s="49">
        <v>7259</v>
      </c>
      <c r="Q16" s="48">
        <v>107539</v>
      </c>
      <c r="R16" s="49">
        <v>1140902</v>
      </c>
      <c r="S16" s="48">
        <v>1982519</v>
      </c>
      <c r="T16" s="49">
        <v>2700120</v>
      </c>
      <c r="U16" s="48">
        <v>1052578</v>
      </c>
      <c r="V16" s="49">
        <v>2534685</v>
      </c>
    </row>
    <row r="17" spans="2:22" s="1" customFormat="1" ht="12" x14ac:dyDescent="0.2">
      <c r="B17" s="1" t="s">
        <v>219</v>
      </c>
      <c r="C17" s="48">
        <v>0</v>
      </c>
      <c r="D17" s="49">
        <v>0</v>
      </c>
      <c r="E17" s="48">
        <v>0</v>
      </c>
      <c r="F17" s="47">
        <v>0</v>
      </c>
      <c r="G17" s="48">
        <v>0</v>
      </c>
      <c r="H17" s="47">
        <v>0</v>
      </c>
      <c r="I17" s="48">
        <f>-5126</f>
        <v>-5126</v>
      </c>
      <c r="J17" s="49">
        <v>-73</v>
      </c>
      <c r="K17" s="48">
        <f>4113</f>
        <v>4113</v>
      </c>
      <c r="L17" s="49">
        <f>14391</f>
        <v>14391</v>
      </c>
      <c r="M17" s="48">
        <f>8988</f>
        <v>8988</v>
      </c>
      <c r="N17" s="49">
        <v>-3328</v>
      </c>
      <c r="O17" s="48">
        <v>-20906</v>
      </c>
      <c r="P17" s="49">
        <v>0</v>
      </c>
      <c r="Q17" s="48">
        <v>-6754</v>
      </c>
      <c r="R17" s="49">
        <v>0</v>
      </c>
      <c r="S17" s="48">
        <v>33748</v>
      </c>
      <c r="T17" s="49">
        <v>0</v>
      </c>
      <c r="U17" s="48">
        <v>0</v>
      </c>
      <c r="V17" s="49">
        <v>0</v>
      </c>
    </row>
    <row r="18" spans="2:22" s="1" customFormat="1" ht="12" x14ac:dyDescent="0.2">
      <c r="B18" s="1" t="s">
        <v>117</v>
      </c>
      <c r="C18" s="48">
        <v>132</v>
      </c>
      <c r="D18" s="49">
        <v>3097</v>
      </c>
      <c r="E18" s="48">
        <v>-4028</v>
      </c>
      <c r="F18" s="47">
        <v>8668</v>
      </c>
      <c r="G18" s="48">
        <v>-1341</v>
      </c>
      <c r="H18" s="47">
        <v>17178</v>
      </c>
      <c r="I18" s="48">
        <v>-1816</v>
      </c>
      <c r="J18" s="49">
        <v>1251</v>
      </c>
      <c r="K18" s="48">
        <v>-95</v>
      </c>
      <c r="L18" s="49">
        <v>-1771</v>
      </c>
      <c r="M18" s="48">
        <v>164</v>
      </c>
      <c r="N18" s="49">
        <v>164</v>
      </c>
      <c r="O18" s="48">
        <v>357589</v>
      </c>
      <c r="P18" s="49">
        <v>350606</v>
      </c>
      <c r="Q18" s="48">
        <v>5190</v>
      </c>
      <c r="R18" s="49">
        <v>4962</v>
      </c>
      <c r="S18" s="48">
        <v>9396</v>
      </c>
      <c r="T18" s="49">
        <v>11994</v>
      </c>
      <c r="U18" s="48">
        <v>0</v>
      </c>
      <c r="V18" s="49">
        <v>-1500</v>
      </c>
    </row>
    <row r="19" spans="2:22" s="1" customFormat="1" ht="12" x14ac:dyDescent="0.2">
      <c r="B19" s="1" t="s">
        <v>213</v>
      </c>
      <c r="C19" s="48">
        <v>2715</v>
      </c>
      <c r="D19" s="49">
        <v>39293</v>
      </c>
      <c r="E19" s="48">
        <v>-164</v>
      </c>
      <c r="F19" s="47">
        <v>35937</v>
      </c>
      <c r="G19" s="48">
        <v>443</v>
      </c>
      <c r="H19" s="47">
        <v>-43991</v>
      </c>
      <c r="I19" s="48">
        <v>-250</v>
      </c>
      <c r="J19" s="49">
        <v>-25891</v>
      </c>
      <c r="K19" s="48">
        <v>-916</v>
      </c>
      <c r="L19" s="49">
        <v>-557</v>
      </c>
      <c r="M19" s="48">
        <v>6086</v>
      </c>
      <c r="N19" s="49">
        <v>490</v>
      </c>
      <c r="O19" s="48">
        <v>-1933</v>
      </c>
      <c r="P19" s="49">
        <v>1249</v>
      </c>
      <c r="Q19" s="48">
        <v>208995</v>
      </c>
      <c r="R19" s="49">
        <v>260759</v>
      </c>
      <c r="S19" s="48">
        <v>4960</v>
      </c>
      <c r="T19" s="49">
        <v>73549</v>
      </c>
      <c r="U19" s="48">
        <v>0</v>
      </c>
      <c r="V19" s="49">
        <v>-1407</v>
      </c>
    </row>
    <row r="20" spans="2:22" s="1" customFormat="1" ht="12" x14ac:dyDescent="0.2">
      <c r="B20" s="1" t="s">
        <v>214</v>
      </c>
      <c r="C20" s="48">
        <v>0</v>
      </c>
      <c r="D20" s="49">
        <v>0</v>
      </c>
      <c r="E20" s="48">
        <v>0</v>
      </c>
      <c r="F20" s="47">
        <v>0</v>
      </c>
      <c r="G20" s="48">
        <v>0</v>
      </c>
      <c r="H20" s="47">
        <v>95121</v>
      </c>
      <c r="I20" s="48">
        <v>0</v>
      </c>
      <c r="J20" s="49">
        <v>80189</v>
      </c>
      <c r="K20" s="48">
        <v>0</v>
      </c>
      <c r="L20" s="49">
        <v>0</v>
      </c>
      <c r="M20" s="48">
        <v>5460</v>
      </c>
      <c r="N20" s="49">
        <v>5460</v>
      </c>
      <c r="O20" s="48">
        <v>325094</v>
      </c>
      <c r="P20" s="49">
        <v>325311</v>
      </c>
      <c r="Q20" s="48">
        <v>0</v>
      </c>
      <c r="R20" s="49">
        <v>650813</v>
      </c>
      <c r="S20" s="48">
        <v>0</v>
      </c>
      <c r="T20" s="49">
        <v>117205</v>
      </c>
      <c r="U20" s="48">
        <v>92440</v>
      </c>
      <c r="V20" s="49">
        <v>126152</v>
      </c>
    </row>
    <row r="21" spans="2:22" s="1" customFormat="1" ht="12" x14ac:dyDescent="0.2">
      <c r="B21" s="1" t="s">
        <v>444</v>
      </c>
      <c r="C21" s="48">
        <v>0</v>
      </c>
      <c r="D21" s="49">
        <v>0</v>
      </c>
      <c r="E21" s="48">
        <v>0</v>
      </c>
      <c r="F21" s="47">
        <v>0</v>
      </c>
      <c r="G21" s="48">
        <v>0</v>
      </c>
      <c r="H21" s="47">
        <v>0</v>
      </c>
      <c r="I21" s="48">
        <v>0</v>
      </c>
      <c r="J21" s="49">
        <v>0</v>
      </c>
      <c r="K21" s="48">
        <v>0</v>
      </c>
      <c r="L21" s="49">
        <v>0</v>
      </c>
      <c r="M21" s="48">
        <v>0</v>
      </c>
      <c r="N21" s="49">
        <v>0</v>
      </c>
      <c r="O21" s="48">
        <v>0</v>
      </c>
      <c r="P21" s="49">
        <v>186619</v>
      </c>
      <c r="Q21" s="48">
        <v>0</v>
      </c>
      <c r="R21" s="49">
        <v>0</v>
      </c>
      <c r="S21" s="48">
        <v>0</v>
      </c>
      <c r="T21" s="49">
        <v>0</v>
      </c>
      <c r="U21" s="48">
        <v>0</v>
      </c>
      <c r="V21" s="49">
        <v>0</v>
      </c>
    </row>
    <row r="22" spans="2:22" s="1" customFormat="1" ht="12" x14ac:dyDescent="0.2">
      <c r="B22" s="1" t="s">
        <v>215</v>
      </c>
      <c r="C22" s="48">
        <f>+PL!C23*-1</f>
        <v>0</v>
      </c>
      <c r="D22" s="49">
        <f>+PL!D23*-1</f>
        <v>0</v>
      </c>
      <c r="E22" s="48">
        <f>+PL!E23*-1</f>
        <v>0</v>
      </c>
      <c r="F22" s="47">
        <f>+PL!F23*-1</f>
        <v>0</v>
      </c>
      <c r="G22" s="48">
        <f>+PL!G23*-1</f>
        <v>0</v>
      </c>
      <c r="H22" s="47">
        <f>+PL!H23*-1</f>
        <v>-23981</v>
      </c>
      <c r="I22" s="48">
        <v>-11845</v>
      </c>
      <c r="J22" s="49">
        <v>5409</v>
      </c>
      <c r="K22" s="48">
        <v>-43272</v>
      </c>
      <c r="L22" s="49">
        <f>+PL!L23*-1</f>
        <v>12752</v>
      </c>
      <c r="M22" s="48">
        <v>-10632</v>
      </c>
      <c r="N22" s="49">
        <v>-50396</v>
      </c>
      <c r="O22" s="48">
        <v>-142948</v>
      </c>
      <c r="P22" s="49">
        <v>-44006</v>
      </c>
      <c r="Q22" s="48">
        <v>-171223</v>
      </c>
      <c r="R22" s="49">
        <v>51663</v>
      </c>
      <c r="S22" s="48">
        <v>-253055</v>
      </c>
      <c r="T22" s="49">
        <v>49743</v>
      </c>
      <c r="U22" s="48">
        <v>-111615</v>
      </c>
      <c r="V22" s="49">
        <v>-37667</v>
      </c>
    </row>
    <row r="23" spans="2:22" s="1" customFormat="1" ht="12" x14ac:dyDescent="0.2">
      <c r="B23" s="12" t="s">
        <v>106</v>
      </c>
      <c r="C23" s="48">
        <v>0</v>
      </c>
      <c r="D23" s="49">
        <v>0</v>
      </c>
      <c r="E23" s="48">
        <v>0</v>
      </c>
      <c r="F23" s="47">
        <v>0</v>
      </c>
      <c r="G23" s="48">
        <v>0</v>
      </c>
      <c r="H23" s="47">
        <v>189708</v>
      </c>
      <c r="I23" s="48">
        <v>0</v>
      </c>
      <c r="J23" s="49">
        <v>0</v>
      </c>
      <c r="K23" s="48">
        <v>0</v>
      </c>
      <c r="L23" s="49">
        <v>0</v>
      </c>
      <c r="M23" s="48">
        <v>0</v>
      </c>
      <c r="N23" s="49">
        <v>0</v>
      </c>
      <c r="O23" s="48">
        <v>0</v>
      </c>
      <c r="P23" s="49">
        <v>0</v>
      </c>
      <c r="Q23" s="48">
        <v>0</v>
      </c>
      <c r="R23" s="49">
        <v>0</v>
      </c>
      <c r="S23" s="48">
        <v>0</v>
      </c>
      <c r="T23" s="49">
        <v>0</v>
      </c>
      <c r="U23" s="48">
        <v>0</v>
      </c>
      <c r="V23" s="49">
        <v>0</v>
      </c>
    </row>
    <row r="24" spans="2:22" s="1" customFormat="1" ht="12" x14ac:dyDescent="0.2">
      <c r="B24" s="1" t="s">
        <v>216</v>
      </c>
      <c r="C24" s="48">
        <f>+PL!C24*-1</f>
        <v>-455075</v>
      </c>
      <c r="D24" s="49">
        <f>+PL!D24*-1</f>
        <v>-1738741</v>
      </c>
      <c r="E24" s="48">
        <f>+PL!E24*-1</f>
        <v>-81363</v>
      </c>
      <c r="F24" s="47">
        <f>+PL!F24*-1</f>
        <v>-202377</v>
      </c>
      <c r="G24" s="48">
        <f>+PL!G24*-1</f>
        <v>-403218</v>
      </c>
      <c r="H24" s="47">
        <v>-2015298</v>
      </c>
      <c r="I24" s="48">
        <v>757166</v>
      </c>
      <c r="J24" s="49">
        <f>+PL!J24*-1</f>
        <v>-669958</v>
      </c>
      <c r="K24" s="48">
        <v>2255620</v>
      </c>
      <c r="L24" s="49">
        <f>+PL!L24*-1</f>
        <v>-468215</v>
      </c>
      <c r="M24" s="48">
        <v>-281467</v>
      </c>
      <c r="N24" s="49">
        <v>-3169547</v>
      </c>
      <c r="O24" s="48">
        <v>-1454975</v>
      </c>
      <c r="P24" s="49">
        <v>-1611575</v>
      </c>
      <c r="Q24" s="48">
        <v>-3123470</v>
      </c>
      <c r="R24" s="49">
        <v>-6245864</v>
      </c>
      <c r="S24" s="48">
        <v>7977496</v>
      </c>
      <c r="T24" s="49">
        <v>2506447</v>
      </c>
      <c r="U24" s="48">
        <v>8327823</v>
      </c>
      <c r="V24" s="49">
        <v>4406796</v>
      </c>
    </row>
    <row r="25" spans="2:22" s="1" customFormat="1" ht="12" x14ac:dyDescent="0.2">
      <c r="B25" s="1" t="s">
        <v>443</v>
      </c>
      <c r="C25" s="48">
        <v>0</v>
      </c>
      <c r="D25" s="49">
        <v>0</v>
      </c>
      <c r="E25" s="48">
        <v>0</v>
      </c>
      <c r="F25" s="47">
        <v>0</v>
      </c>
      <c r="G25" s="48">
        <v>0</v>
      </c>
      <c r="H25" s="47">
        <v>0</v>
      </c>
      <c r="I25" s="48">
        <v>0</v>
      </c>
      <c r="J25" s="49">
        <v>0</v>
      </c>
      <c r="K25" s="48">
        <v>0</v>
      </c>
      <c r="L25" s="49">
        <v>-86239</v>
      </c>
      <c r="M25" s="48">
        <v>0</v>
      </c>
      <c r="N25" s="49">
        <v>0</v>
      </c>
      <c r="O25" s="48">
        <v>0</v>
      </c>
      <c r="P25" s="49">
        <v>0</v>
      </c>
      <c r="Q25" s="48">
        <v>0</v>
      </c>
      <c r="R25" s="49">
        <v>0</v>
      </c>
      <c r="S25" s="48">
        <v>0</v>
      </c>
      <c r="T25" s="49">
        <v>-1248</v>
      </c>
      <c r="U25" s="48">
        <v>0</v>
      </c>
      <c r="V25" s="49">
        <v>-9096</v>
      </c>
    </row>
    <row r="26" spans="2:22" s="1" customFormat="1" ht="12" x14ac:dyDescent="0.2">
      <c r="B26" s="1" t="s">
        <v>446</v>
      </c>
      <c r="C26" s="48">
        <v>0</v>
      </c>
      <c r="D26" s="49">
        <v>0</v>
      </c>
      <c r="E26" s="48">
        <v>0</v>
      </c>
      <c r="F26" s="47">
        <v>0</v>
      </c>
      <c r="G26" s="48">
        <v>0</v>
      </c>
      <c r="H26" s="47">
        <v>0</v>
      </c>
      <c r="I26" s="48">
        <v>0</v>
      </c>
      <c r="J26" s="49">
        <v>0</v>
      </c>
      <c r="K26" s="48">
        <v>0</v>
      </c>
      <c r="L26" s="49">
        <v>0</v>
      </c>
      <c r="M26" s="48">
        <v>0</v>
      </c>
      <c r="N26" s="49">
        <v>0</v>
      </c>
      <c r="O26" s="48">
        <v>0</v>
      </c>
      <c r="P26" s="49">
        <v>0</v>
      </c>
      <c r="Q26" s="48">
        <v>0</v>
      </c>
      <c r="R26" s="49">
        <v>141608</v>
      </c>
      <c r="S26" s="48">
        <v>0</v>
      </c>
      <c r="T26" s="49">
        <v>-53316</v>
      </c>
      <c r="U26" s="48">
        <v>0</v>
      </c>
      <c r="V26" s="49">
        <v>-65084</v>
      </c>
    </row>
    <row r="27" spans="2:22" s="1" customFormat="1" ht="12" x14ac:dyDescent="0.2">
      <c r="B27" s="1" t="s">
        <v>449</v>
      </c>
      <c r="C27" s="48">
        <v>0</v>
      </c>
      <c r="D27" s="49">
        <v>0</v>
      </c>
      <c r="E27" s="48">
        <v>0</v>
      </c>
      <c r="F27" s="47">
        <v>0</v>
      </c>
      <c r="G27" s="48">
        <v>0</v>
      </c>
      <c r="H27" s="47">
        <v>0</v>
      </c>
      <c r="I27" s="48">
        <v>0</v>
      </c>
      <c r="J27" s="49">
        <v>0</v>
      </c>
      <c r="K27" s="48">
        <v>0</v>
      </c>
      <c r="L27" s="49">
        <v>0</v>
      </c>
      <c r="M27" s="48">
        <v>0</v>
      </c>
      <c r="N27" s="49">
        <v>0</v>
      </c>
      <c r="O27" s="48">
        <v>0</v>
      </c>
      <c r="P27" s="49">
        <v>0</v>
      </c>
      <c r="Q27" s="48">
        <v>0</v>
      </c>
      <c r="R27" s="49">
        <v>146000</v>
      </c>
      <c r="S27" s="48">
        <v>0</v>
      </c>
      <c r="T27" s="49">
        <v>-146000</v>
      </c>
      <c r="U27" s="48">
        <v>0</v>
      </c>
      <c r="V27" s="49">
        <v>0</v>
      </c>
    </row>
    <row r="28" spans="2:22" s="1" customFormat="1" ht="12" x14ac:dyDescent="0.2">
      <c r="B28" s="1" t="s">
        <v>464</v>
      </c>
      <c r="C28" s="48">
        <v>0</v>
      </c>
      <c r="D28" s="49">
        <v>0</v>
      </c>
      <c r="E28" s="48">
        <v>0</v>
      </c>
      <c r="F28" s="47">
        <v>0</v>
      </c>
      <c r="G28" s="48">
        <v>0</v>
      </c>
      <c r="H28" s="47">
        <v>0</v>
      </c>
      <c r="I28" s="48">
        <v>0</v>
      </c>
      <c r="J28" s="49">
        <v>0</v>
      </c>
      <c r="K28" s="48">
        <v>0</v>
      </c>
      <c r="L28" s="49">
        <v>0</v>
      </c>
      <c r="M28" s="48">
        <v>0</v>
      </c>
      <c r="N28" s="49">
        <v>0</v>
      </c>
      <c r="O28" s="48">
        <v>0</v>
      </c>
      <c r="P28" s="49">
        <v>0</v>
      </c>
      <c r="Q28" s="48">
        <v>0</v>
      </c>
      <c r="R28" s="49">
        <v>0</v>
      </c>
      <c r="S28" s="48">
        <f>-146000+-107172+-75460</f>
        <v>-328632</v>
      </c>
      <c r="T28" s="49">
        <v>-75460</v>
      </c>
      <c r="U28" s="48">
        <v>5650</v>
      </c>
      <c r="V28" s="49">
        <v>0</v>
      </c>
    </row>
    <row r="29" spans="2:22" s="1" customFormat="1" ht="12" x14ac:dyDescent="0.2">
      <c r="B29" s="1" t="s">
        <v>468</v>
      </c>
      <c r="C29" s="48">
        <v>0</v>
      </c>
      <c r="D29" s="49">
        <v>0</v>
      </c>
      <c r="E29" s="48">
        <v>0</v>
      </c>
      <c r="F29" s="47">
        <v>0</v>
      </c>
      <c r="G29" s="48">
        <v>0</v>
      </c>
      <c r="H29" s="47">
        <v>0</v>
      </c>
      <c r="I29" s="48">
        <v>0</v>
      </c>
      <c r="J29" s="49">
        <v>0</v>
      </c>
      <c r="K29" s="48">
        <v>0</v>
      </c>
      <c r="L29" s="49">
        <v>0</v>
      </c>
      <c r="M29" s="48">
        <v>0</v>
      </c>
      <c r="N29" s="49">
        <v>0</v>
      </c>
      <c r="O29" s="48">
        <v>0</v>
      </c>
      <c r="P29" s="49">
        <v>0</v>
      </c>
      <c r="Q29" s="48">
        <v>0</v>
      </c>
      <c r="R29" s="49">
        <v>0</v>
      </c>
      <c r="S29" s="48">
        <v>0</v>
      </c>
      <c r="T29" s="49">
        <v>24685</v>
      </c>
      <c r="U29" s="48">
        <v>0</v>
      </c>
      <c r="V29" s="49">
        <v>0</v>
      </c>
    </row>
    <row r="30" spans="2:22" s="1" customFormat="1" ht="12" x14ac:dyDescent="0.2">
      <c r="B30" s="1" t="s">
        <v>217</v>
      </c>
      <c r="C30" s="48">
        <v>0</v>
      </c>
      <c r="D30" s="49">
        <v>0</v>
      </c>
      <c r="E30" s="48">
        <v>0</v>
      </c>
      <c r="F30" s="47">
        <v>0</v>
      </c>
      <c r="G30" s="48">
        <v>0</v>
      </c>
      <c r="H30" s="47">
        <v>0</v>
      </c>
      <c r="I30" s="48"/>
      <c r="J30" s="49">
        <v>23634</v>
      </c>
      <c r="K30" s="48">
        <v>-10</v>
      </c>
      <c r="L30" s="49">
        <v>10972</v>
      </c>
      <c r="M30" s="48">
        <v>-1800</v>
      </c>
      <c r="N30" s="49">
        <v>9931</v>
      </c>
      <c r="O30" s="48">
        <v>36707</v>
      </c>
      <c r="P30" s="49">
        <v>39762</v>
      </c>
      <c r="Q30" s="48">
        <v>23806</v>
      </c>
      <c r="R30" s="49">
        <v>85558</v>
      </c>
      <c r="S30" s="48">
        <v>-14864</v>
      </c>
      <c r="T30" s="49">
        <v>118656</v>
      </c>
      <c r="U30" s="48">
        <v>-12310</v>
      </c>
      <c r="V30" s="49">
        <v>45344</v>
      </c>
    </row>
    <row r="31" spans="2:22" s="1" customFormat="1" ht="12" x14ac:dyDescent="0.2">
      <c r="B31" s="1" t="s">
        <v>46</v>
      </c>
      <c r="C31" s="48">
        <f t="shared" ref="C31:T31" si="0">SUM(C6:C30)</f>
        <v>-101354</v>
      </c>
      <c r="D31" s="49">
        <f t="shared" si="0"/>
        <v>1138445</v>
      </c>
      <c r="E31" s="48">
        <f t="shared" si="0"/>
        <v>402191</v>
      </c>
      <c r="F31" s="47">
        <f t="shared" si="0"/>
        <v>742057</v>
      </c>
      <c r="G31" s="48">
        <f t="shared" si="0"/>
        <v>-137972</v>
      </c>
      <c r="H31" s="47">
        <f t="shared" si="0"/>
        <v>894700</v>
      </c>
      <c r="I31" s="48">
        <f t="shared" si="0"/>
        <v>2170652</v>
      </c>
      <c r="J31" s="49">
        <f t="shared" si="0"/>
        <v>3816308</v>
      </c>
      <c r="K31" s="48">
        <f t="shared" si="0"/>
        <v>2203417</v>
      </c>
      <c r="L31" s="49">
        <f t="shared" si="0"/>
        <v>3302451</v>
      </c>
      <c r="M31" s="48">
        <f t="shared" si="0"/>
        <v>2607238</v>
      </c>
      <c r="N31" s="49">
        <f t="shared" si="0"/>
        <v>6940669</v>
      </c>
      <c r="O31" s="48">
        <f t="shared" si="0"/>
        <v>8675751</v>
      </c>
      <c r="P31" s="49">
        <f t="shared" si="0"/>
        <v>13337641</v>
      </c>
      <c r="Q31" s="48">
        <f t="shared" si="0"/>
        <v>6661941</v>
      </c>
      <c r="R31" s="49">
        <f t="shared" si="0"/>
        <v>14582656</v>
      </c>
      <c r="S31" s="48">
        <f>SUM(S6:S30)</f>
        <v>9386493</v>
      </c>
      <c r="T31" s="49">
        <f t="shared" si="0"/>
        <v>15456492</v>
      </c>
      <c r="U31" s="48">
        <f>SUM(U6:U30)</f>
        <v>3514962</v>
      </c>
      <c r="V31" s="49">
        <f>SUM(V6:V30)</f>
        <v>8225325</v>
      </c>
    </row>
    <row r="32" spans="2:22" s="1" customFormat="1" ht="12" x14ac:dyDescent="0.2">
      <c r="B32" s="1" t="s">
        <v>47</v>
      </c>
      <c r="C32" s="48"/>
      <c r="D32" s="49"/>
      <c r="E32" s="48"/>
      <c r="F32" s="47"/>
      <c r="G32" s="48"/>
      <c r="H32" s="47"/>
      <c r="I32" s="48"/>
      <c r="J32" s="49"/>
      <c r="K32" s="48"/>
      <c r="L32" s="49"/>
      <c r="M32" s="48"/>
      <c r="N32" s="49"/>
      <c r="O32" s="48"/>
      <c r="P32" s="49"/>
      <c r="Q32" s="48"/>
      <c r="R32" s="49"/>
      <c r="S32" s="48"/>
      <c r="T32" s="49"/>
      <c r="U32" s="48"/>
      <c r="V32" s="49"/>
    </row>
    <row r="33" spans="2:22" s="1" customFormat="1" ht="12" x14ac:dyDescent="0.2">
      <c r="B33" s="1" t="s">
        <v>48</v>
      </c>
      <c r="C33" s="48"/>
      <c r="D33" s="49"/>
      <c r="E33" s="48"/>
      <c r="F33" s="47"/>
      <c r="G33" s="48"/>
      <c r="H33" s="47"/>
      <c r="I33" s="48"/>
      <c r="J33" s="49"/>
      <c r="K33" s="48"/>
      <c r="L33" s="49"/>
      <c r="M33" s="48"/>
      <c r="N33" s="49"/>
      <c r="O33" s="48"/>
      <c r="P33" s="49"/>
      <c r="Q33" s="48"/>
      <c r="R33" s="49"/>
      <c r="S33" s="48"/>
      <c r="T33" s="49"/>
      <c r="U33" s="48"/>
      <c r="V33" s="49"/>
    </row>
    <row r="34" spans="2:22" s="1" customFormat="1" ht="12" x14ac:dyDescent="0.2">
      <c r="B34" s="1" t="s">
        <v>112</v>
      </c>
      <c r="C34" s="48">
        <v>-124417</v>
      </c>
      <c r="D34" s="49">
        <v>-704901</v>
      </c>
      <c r="E34" s="48">
        <v>1803783</v>
      </c>
      <c r="F34" s="47">
        <v>1723516</v>
      </c>
      <c r="G34" s="48">
        <v>-1025073</v>
      </c>
      <c r="H34" s="47">
        <v>-144606</v>
      </c>
      <c r="I34" s="48">
        <v>-329648</v>
      </c>
      <c r="J34" s="49">
        <v>-248555</v>
      </c>
      <c r="K34" s="48">
        <v>-434616</v>
      </c>
      <c r="L34" s="49">
        <f>+-329744</f>
        <v>-329744</v>
      </c>
      <c r="M34" s="48">
        <v>-358351</v>
      </c>
      <c r="N34" s="49">
        <v>-871364</v>
      </c>
      <c r="O34" s="48">
        <v>-1334432</v>
      </c>
      <c r="P34" s="49">
        <v>-1749647</v>
      </c>
      <c r="Q34" s="48">
        <v>-2951378</v>
      </c>
      <c r="R34" s="49">
        <v>-2141887</v>
      </c>
      <c r="S34" s="48">
        <v>219398</v>
      </c>
      <c r="T34" s="49">
        <v>1784571</v>
      </c>
      <c r="U34" s="48">
        <v>-1091472</v>
      </c>
      <c r="V34" s="49">
        <v>-289896</v>
      </c>
    </row>
    <row r="35" spans="2:22" s="1" customFormat="1" ht="12" x14ac:dyDescent="0.2">
      <c r="B35" s="1" t="s">
        <v>49</v>
      </c>
      <c r="C35" s="48">
        <v>0</v>
      </c>
      <c r="D35" s="49">
        <v>0</v>
      </c>
      <c r="E35" s="48">
        <v>0</v>
      </c>
      <c r="F35" s="47">
        <v>0</v>
      </c>
      <c r="G35" s="48">
        <v>0</v>
      </c>
      <c r="H35" s="47">
        <v>-2375136</v>
      </c>
      <c r="I35" s="48">
        <v>621671</v>
      </c>
      <c r="J35" s="49">
        <v>-529897</v>
      </c>
      <c r="K35" s="48">
        <v>739669</v>
      </c>
      <c r="L35" s="49">
        <v>-2221641</v>
      </c>
      <c r="M35" s="48">
        <v>207019</v>
      </c>
      <c r="N35" s="49">
        <v>-1668521</v>
      </c>
      <c r="O35" s="48">
        <v>309139</v>
      </c>
      <c r="P35" s="49">
        <v>-3794774</v>
      </c>
      <c r="Q35" s="48">
        <v>748684</v>
      </c>
      <c r="R35" s="49">
        <v>-3169650</v>
      </c>
      <c r="S35" s="48">
        <v>2463256</v>
      </c>
      <c r="T35" s="49">
        <v>-3194515</v>
      </c>
      <c r="U35" s="48">
        <v>-1631072</v>
      </c>
      <c r="V35" s="49">
        <v>-6737211</v>
      </c>
    </row>
    <row r="36" spans="2:22" s="1" customFormat="1" ht="12" x14ac:dyDescent="0.2">
      <c r="B36" s="1" t="s">
        <v>71</v>
      </c>
      <c r="C36" s="48">
        <v>156416</v>
      </c>
      <c r="D36" s="49">
        <v>-141048</v>
      </c>
      <c r="E36" s="48">
        <v>130654</v>
      </c>
      <c r="F36" s="47">
        <v>290883</v>
      </c>
      <c r="G36" s="48">
        <v>-45136</v>
      </c>
      <c r="H36" s="47">
        <v>-323075</v>
      </c>
      <c r="I36" s="48">
        <v>242612</v>
      </c>
      <c r="J36" s="49">
        <v>-323826</v>
      </c>
      <c r="K36" s="48">
        <v>463213</v>
      </c>
      <c r="L36" s="49">
        <v>94578</v>
      </c>
      <c r="M36" s="48">
        <v>-61836</v>
      </c>
      <c r="N36" s="49">
        <v>-1071739</v>
      </c>
      <c r="O36" s="48">
        <v>-262873</v>
      </c>
      <c r="P36" s="49">
        <v>-1189282</v>
      </c>
      <c r="Q36" s="48">
        <v>832378</v>
      </c>
      <c r="R36" s="49">
        <v>-190529</v>
      </c>
      <c r="S36" s="48">
        <v>1128816</v>
      </c>
      <c r="T36" s="49">
        <v>415547</v>
      </c>
      <c r="U36" s="48">
        <v>1235062</v>
      </c>
      <c r="V36" s="49">
        <v>902718</v>
      </c>
    </row>
    <row r="37" spans="2:22" s="1" customFormat="1" ht="12" x14ac:dyDescent="0.2">
      <c r="B37" s="1" t="s">
        <v>50</v>
      </c>
      <c r="C37" s="48">
        <v>-52716</v>
      </c>
      <c r="D37" s="49">
        <v>7744</v>
      </c>
      <c r="E37" s="48">
        <v>-9745</v>
      </c>
      <c r="F37" s="47">
        <v>-2240</v>
      </c>
      <c r="G37" s="48">
        <v>-260148</v>
      </c>
      <c r="H37" s="47">
        <v>-15450</v>
      </c>
      <c r="I37" s="48">
        <v>-28717</v>
      </c>
      <c r="J37" s="49">
        <v>-15044</v>
      </c>
      <c r="K37" s="48">
        <v>-148971</v>
      </c>
      <c r="L37" s="49">
        <v>955</v>
      </c>
      <c r="M37" s="48">
        <v>-279184</v>
      </c>
      <c r="N37" s="49">
        <v>-24348</v>
      </c>
      <c r="O37" s="48">
        <v>-16296</v>
      </c>
      <c r="P37" s="49">
        <v>9648</v>
      </c>
      <c r="Q37" s="48">
        <v>-43189</v>
      </c>
      <c r="R37" s="49">
        <v>-77879</v>
      </c>
      <c r="S37" s="48">
        <v>41832</v>
      </c>
      <c r="T37" s="49">
        <v>81078</v>
      </c>
      <c r="U37" s="48">
        <v>-27752</v>
      </c>
      <c r="V37" s="49">
        <v>114137</v>
      </c>
    </row>
    <row r="38" spans="2:22" s="1" customFormat="1" ht="12" x14ac:dyDescent="0.2">
      <c r="B38" s="1" t="s">
        <v>51</v>
      </c>
      <c r="C38" s="48">
        <v>-96056</v>
      </c>
      <c r="D38" s="49">
        <v>-269611</v>
      </c>
      <c r="E38" s="48">
        <v>105380</v>
      </c>
      <c r="F38" s="47">
        <v>34737</v>
      </c>
      <c r="G38" s="48">
        <v>81072</v>
      </c>
      <c r="H38" s="47">
        <v>90538</v>
      </c>
      <c r="I38" s="48">
        <v>-65390</v>
      </c>
      <c r="J38" s="49">
        <v>-22557</v>
      </c>
      <c r="K38" s="48">
        <v>1248</v>
      </c>
      <c r="L38" s="49">
        <v>-177583</v>
      </c>
      <c r="M38" s="48">
        <v>-148072</v>
      </c>
      <c r="N38" s="49">
        <v>-180878</v>
      </c>
      <c r="O38" s="48">
        <v>-1424615</v>
      </c>
      <c r="P38" s="49">
        <v>-3069629</v>
      </c>
      <c r="Q38" s="48">
        <v>-94885</v>
      </c>
      <c r="R38" s="49">
        <v>484730</v>
      </c>
      <c r="S38" s="48">
        <v>-1569169</v>
      </c>
      <c r="T38" s="49">
        <v>-526566</v>
      </c>
      <c r="U38" s="48">
        <v>16652</v>
      </c>
      <c r="V38" s="49">
        <v>1604260</v>
      </c>
    </row>
    <row r="39" spans="2:22" s="1" customFormat="1" ht="12" x14ac:dyDescent="0.2">
      <c r="B39" s="1" t="s">
        <v>120</v>
      </c>
      <c r="C39" s="48">
        <v>68586</v>
      </c>
      <c r="D39" s="49">
        <v>35444</v>
      </c>
      <c r="E39" s="48">
        <v>-9052</v>
      </c>
      <c r="F39" s="47">
        <v>-39983</v>
      </c>
      <c r="G39" s="48">
        <v>141550</v>
      </c>
      <c r="H39" s="47">
        <v>210111</v>
      </c>
      <c r="I39" s="48">
        <v>-66516</v>
      </c>
      <c r="J39" s="49">
        <v>-16710</v>
      </c>
      <c r="K39" s="48">
        <v>-25560</v>
      </c>
      <c r="L39" s="49">
        <v>105684</v>
      </c>
      <c r="M39" s="48">
        <v>144139</v>
      </c>
      <c r="N39" s="49">
        <v>94627</v>
      </c>
      <c r="O39" s="48">
        <v>-411400</v>
      </c>
      <c r="P39" s="49">
        <v>753705</v>
      </c>
      <c r="Q39" s="48">
        <v>-214349</v>
      </c>
      <c r="R39" s="49">
        <v>54483</v>
      </c>
      <c r="S39" s="48">
        <v>17346</v>
      </c>
      <c r="T39" s="49">
        <v>11807</v>
      </c>
      <c r="U39" s="48">
        <v>402086</v>
      </c>
      <c r="V39" s="49">
        <v>962394</v>
      </c>
    </row>
    <row r="40" spans="2:22" s="1" customFormat="1" ht="12" x14ac:dyDescent="0.2">
      <c r="B40" s="1" t="s">
        <v>118</v>
      </c>
      <c r="C40" s="48">
        <v>-50820</v>
      </c>
      <c r="D40" s="49">
        <v>131687</v>
      </c>
      <c r="E40" s="48">
        <v>-73583</v>
      </c>
      <c r="F40" s="47">
        <v>-193874</v>
      </c>
      <c r="G40" s="48">
        <v>-32191</v>
      </c>
      <c r="H40" s="47">
        <v>154514</v>
      </c>
      <c r="I40" s="48">
        <v>58</v>
      </c>
      <c r="J40" s="49">
        <v>-8676</v>
      </c>
      <c r="K40" s="48">
        <v>-23583</v>
      </c>
      <c r="L40" s="49">
        <v>55111</v>
      </c>
      <c r="M40" s="48">
        <v>-13901</v>
      </c>
      <c r="N40" s="49">
        <v>65331</v>
      </c>
      <c r="O40" s="48">
        <v>43426</v>
      </c>
      <c r="P40" s="49">
        <v>36534</v>
      </c>
      <c r="Q40" s="48">
        <v>117910</v>
      </c>
      <c r="R40" s="49">
        <v>71309</v>
      </c>
      <c r="S40" s="48">
        <v>195240</v>
      </c>
      <c r="T40" s="49">
        <v>104355</v>
      </c>
      <c r="U40" s="48">
        <v>-170623</v>
      </c>
      <c r="V40" s="49">
        <v>-122461</v>
      </c>
    </row>
    <row r="41" spans="2:22" s="1" customFormat="1" ht="12" x14ac:dyDescent="0.2">
      <c r="B41" s="1" t="s">
        <v>119</v>
      </c>
      <c r="C41" s="48">
        <v>262</v>
      </c>
      <c r="D41" s="49">
        <v>3565</v>
      </c>
      <c r="E41" s="48">
        <v>-3135</v>
      </c>
      <c r="F41" s="47">
        <v>-2381</v>
      </c>
      <c r="G41" s="48">
        <v>-1194</v>
      </c>
      <c r="H41" s="47">
        <v>34384</v>
      </c>
      <c r="I41" s="48">
        <v>-28752</v>
      </c>
      <c r="J41" s="49">
        <v>34461</v>
      </c>
      <c r="K41" s="48">
        <v>-43059</v>
      </c>
      <c r="L41" s="49">
        <v>-1065</v>
      </c>
      <c r="M41" s="48">
        <v>-47231</v>
      </c>
      <c r="N41" s="49">
        <v>29139</v>
      </c>
      <c r="O41" s="48">
        <v>-57851</v>
      </c>
      <c r="P41" s="49">
        <v>-29409</v>
      </c>
      <c r="Q41" s="48">
        <v>10965</v>
      </c>
      <c r="R41" s="49">
        <v>60172</v>
      </c>
      <c r="S41" s="48">
        <v>-73505</v>
      </c>
      <c r="T41" s="49">
        <v>-66710</v>
      </c>
      <c r="U41" s="48">
        <v>-43582</v>
      </c>
      <c r="V41" s="49">
        <v>-34379</v>
      </c>
    </row>
    <row r="42" spans="2:22" s="1" customFormat="1" ht="12" x14ac:dyDescent="0.2">
      <c r="B42" s="1" t="s">
        <v>447</v>
      </c>
      <c r="C42" s="48">
        <v>8800</v>
      </c>
      <c r="D42" s="49">
        <v>12480</v>
      </c>
      <c r="E42" s="48">
        <v>-8479</v>
      </c>
      <c r="F42" s="47">
        <v>-1713</v>
      </c>
      <c r="G42" s="48">
        <v>-18317</v>
      </c>
      <c r="H42" s="47">
        <v>12835</v>
      </c>
      <c r="I42" s="48">
        <v>-154081</v>
      </c>
      <c r="J42" s="49">
        <v>44629</v>
      </c>
      <c r="K42" s="48">
        <v>-202938</v>
      </c>
      <c r="L42" s="49">
        <v>-72661</v>
      </c>
      <c r="M42" s="48">
        <v>-82677</v>
      </c>
      <c r="N42" s="49">
        <v>609424</v>
      </c>
      <c r="O42" s="48">
        <v>2327</v>
      </c>
      <c r="P42" s="49">
        <v>-385411</v>
      </c>
      <c r="Q42" s="48">
        <v>83741</v>
      </c>
      <c r="R42" s="49">
        <v>470528</v>
      </c>
      <c r="S42" s="48">
        <v>-86832</v>
      </c>
      <c r="T42" s="49">
        <v>-540288</v>
      </c>
      <c r="U42" s="48">
        <v>-140332</v>
      </c>
      <c r="V42" s="49">
        <v>657652</v>
      </c>
    </row>
    <row r="43" spans="2:22" s="1" customFormat="1" ht="12" x14ac:dyDescent="0.2">
      <c r="B43" s="1" t="s">
        <v>48</v>
      </c>
      <c r="C43" s="48">
        <f>SUM(C34:C42)</f>
        <v>-89945</v>
      </c>
      <c r="D43" s="49">
        <f>SUM(D34:D42)</f>
        <v>-924640</v>
      </c>
      <c r="E43" s="48">
        <f>SUM(E34:E42)</f>
        <v>1935823</v>
      </c>
      <c r="F43" s="47">
        <f>SUM(F34:F42)</f>
        <v>1808945</v>
      </c>
      <c r="G43" s="48">
        <f t="shared" ref="G43:R43" si="1">SUM(G34:G42)</f>
        <v>-1159437</v>
      </c>
      <c r="H43" s="47">
        <f t="shared" si="1"/>
        <v>-2355885</v>
      </c>
      <c r="I43" s="48">
        <f t="shared" si="1"/>
        <v>191237</v>
      </c>
      <c r="J43" s="49">
        <f t="shared" si="1"/>
        <v>-1086175</v>
      </c>
      <c r="K43" s="48">
        <f t="shared" si="1"/>
        <v>325403</v>
      </c>
      <c r="L43" s="49">
        <f>SUM(L34:L42)</f>
        <v>-2546366</v>
      </c>
      <c r="M43" s="48">
        <f t="shared" si="1"/>
        <v>-640094</v>
      </c>
      <c r="N43" s="49">
        <f t="shared" si="1"/>
        <v>-3018329</v>
      </c>
      <c r="O43" s="48">
        <f t="shared" si="1"/>
        <v>-3152575</v>
      </c>
      <c r="P43" s="49">
        <f t="shared" si="1"/>
        <v>-9418265</v>
      </c>
      <c r="Q43" s="48">
        <f t="shared" si="1"/>
        <v>-1510123</v>
      </c>
      <c r="R43" s="49">
        <f t="shared" si="1"/>
        <v>-4438723</v>
      </c>
      <c r="S43" s="48">
        <f t="shared" ref="S43:T43" si="2">SUM(S34:S42)</f>
        <v>2336382</v>
      </c>
      <c r="T43" s="49">
        <f t="shared" si="2"/>
        <v>-1930721</v>
      </c>
      <c r="U43" s="48">
        <f t="shared" ref="U43:V43" si="3">SUM(U34:U42)</f>
        <v>-1451033</v>
      </c>
      <c r="V43" s="49">
        <f t="shared" si="3"/>
        <v>-2942786</v>
      </c>
    </row>
    <row r="44" spans="2:22" s="1" customFormat="1" ht="12" x14ac:dyDescent="0.2">
      <c r="C44" s="48"/>
      <c r="D44" s="49"/>
      <c r="E44" s="48"/>
      <c r="F44" s="47"/>
      <c r="G44" s="48"/>
      <c r="H44" s="47"/>
      <c r="I44" s="48"/>
      <c r="J44" s="49"/>
      <c r="K44" s="48"/>
      <c r="L44" s="49"/>
      <c r="M44" s="48"/>
      <c r="N44" s="49"/>
      <c r="O44" s="48"/>
      <c r="P44" s="49"/>
      <c r="Q44" s="48"/>
      <c r="R44" s="49"/>
      <c r="S44" s="48"/>
      <c r="T44" s="49"/>
      <c r="U44" s="48"/>
      <c r="V44" s="49"/>
    </row>
    <row r="45" spans="2:22" s="1" customFormat="1" ht="12" x14ac:dyDescent="0.2">
      <c r="B45" s="2" t="s">
        <v>202</v>
      </c>
      <c r="C45" s="51">
        <f>SUM(C43,C31)</f>
        <v>-191299</v>
      </c>
      <c r="D45" s="52">
        <f t="shared" ref="D45:M45" si="4">SUM(D43,D31)</f>
        <v>213805</v>
      </c>
      <c r="E45" s="51">
        <f t="shared" si="4"/>
        <v>2338014</v>
      </c>
      <c r="F45" s="53">
        <f t="shared" si="4"/>
        <v>2551002</v>
      </c>
      <c r="G45" s="51">
        <f t="shared" si="4"/>
        <v>-1297409</v>
      </c>
      <c r="H45" s="51">
        <f t="shared" si="4"/>
        <v>-1461185</v>
      </c>
      <c r="I45" s="51">
        <f t="shared" si="4"/>
        <v>2361889</v>
      </c>
      <c r="J45" s="52">
        <f t="shared" si="4"/>
        <v>2730133</v>
      </c>
      <c r="K45" s="51">
        <f t="shared" si="4"/>
        <v>2528820</v>
      </c>
      <c r="L45" s="52">
        <f>SUM(L43,L31)</f>
        <v>756085</v>
      </c>
      <c r="M45" s="51">
        <f t="shared" si="4"/>
        <v>1967144</v>
      </c>
      <c r="N45" s="52">
        <f t="shared" ref="N45:S45" si="5">SUM(N43,N31)</f>
        <v>3922340</v>
      </c>
      <c r="O45" s="51">
        <f t="shared" si="5"/>
        <v>5523176</v>
      </c>
      <c r="P45" s="52">
        <f t="shared" si="5"/>
        <v>3919376</v>
      </c>
      <c r="Q45" s="51">
        <f t="shared" si="5"/>
        <v>5151818</v>
      </c>
      <c r="R45" s="52">
        <f t="shared" si="5"/>
        <v>10143933</v>
      </c>
      <c r="S45" s="51">
        <f t="shared" si="5"/>
        <v>11722875</v>
      </c>
      <c r="T45" s="52">
        <f t="shared" ref="T45:U45" si="6">SUM(T43,T31)</f>
        <v>13525771</v>
      </c>
      <c r="U45" s="51">
        <f t="shared" si="6"/>
        <v>2063929</v>
      </c>
      <c r="V45" s="52">
        <f t="shared" ref="V45" si="7">SUM(V43,V31)</f>
        <v>5282539</v>
      </c>
    </row>
    <row r="46" spans="2:22" s="1" customFormat="1" ht="12" x14ac:dyDescent="0.2">
      <c r="B46" s="2"/>
      <c r="C46" s="56"/>
      <c r="D46" s="57"/>
      <c r="E46" s="56"/>
      <c r="F46" s="59"/>
      <c r="G46" s="56"/>
      <c r="H46" s="92"/>
      <c r="I46" s="56"/>
      <c r="J46" s="57"/>
      <c r="K46" s="56"/>
      <c r="L46" s="57"/>
      <c r="M46" s="56"/>
      <c r="N46" s="57"/>
      <c r="O46" s="56"/>
      <c r="P46" s="57"/>
      <c r="Q46" s="56"/>
      <c r="R46" s="57"/>
      <c r="S46" s="56"/>
      <c r="T46" s="57"/>
      <c r="U46" s="56"/>
      <c r="V46" s="57"/>
    </row>
    <row r="47" spans="2:22" s="1" customFormat="1" ht="12" x14ac:dyDescent="0.2">
      <c r="B47" s="1" t="s">
        <v>52</v>
      </c>
      <c r="C47" s="48">
        <v>0</v>
      </c>
      <c r="D47" s="49">
        <v>0</v>
      </c>
      <c r="E47" s="48">
        <v>-5441</v>
      </c>
      <c r="F47" s="47">
        <v>-10708</v>
      </c>
      <c r="G47" s="48">
        <v>-8176</v>
      </c>
      <c r="H47" s="47">
        <v>-10770</v>
      </c>
      <c r="I47" s="48">
        <v>-39127</v>
      </c>
      <c r="J47" s="49">
        <v>-4759</v>
      </c>
      <c r="K47" s="48">
        <v>-5787</v>
      </c>
      <c r="L47" s="49">
        <v>-3253</v>
      </c>
      <c r="M47" s="48">
        <v>-37703</v>
      </c>
      <c r="N47" s="49">
        <v>-97390</v>
      </c>
      <c r="O47" s="48">
        <v>-24435</v>
      </c>
      <c r="P47" s="49">
        <v>-135396</v>
      </c>
      <c r="Q47" s="48">
        <v>-32039</v>
      </c>
      <c r="R47" s="49">
        <v>-350580</v>
      </c>
      <c r="S47" s="48">
        <v>-98143</v>
      </c>
      <c r="T47" s="49">
        <v>-109624</v>
      </c>
      <c r="U47" s="48">
        <v>-70615</v>
      </c>
      <c r="V47" s="49">
        <v>-132485</v>
      </c>
    </row>
    <row r="48" spans="2:22" s="1" customFormat="1" ht="12" x14ac:dyDescent="0.2">
      <c r="B48" s="1" t="s">
        <v>53</v>
      </c>
      <c r="C48" s="48">
        <v>49441</v>
      </c>
      <c r="D48" s="49">
        <v>37656</v>
      </c>
      <c r="E48" s="48">
        <v>42253</v>
      </c>
      <c r="F48" s="47">
        <v>20626</v>
      </c>
      <c r="G48" s="48">
        <v>14923</v>
      </c>
      <c r="H48" s="47">
        <v>16305</v>
      </c>
      <c r="I48" s="48">
        <v>30059</v>
      </c>
      <c r="J48" s="49">
        <v>42459</v>
      </c>
      <c r="K48" s="48">
        <v>4994</v>
      </c>
      <c r="L48" s="49">
        <v>8676</v>
      </c>
      <c r="M48" s="48">
        <v>18921</v>
      </c>
      <c r="N48" s="49">
        <v>37378</v>
      </c>
      <c r="O48" s="48">
        <v>24100</v>
      </c>
      <c r="P48" s="49">
        <v>78379</v>
      </c>
      <c r="Q48" s="48">
        <v>29419</v>
      </c>
      <c r="R48" s="49">
        <v>92394</v>
      </c>
      <c r="S48" s="48">
        <v>118776</v>
      </c>
      <c r="T48" s="49">
        <v>311264</v>
      </c>
      <c r="U48" s="48">
        <v>319044</v>
      </c>
      <c r="V48" s="49">
        <v>721000</v>
      </c>
    </row>
    <row r="49" spans="2:22" s="1" customFormat="1" ht="12" x14ac:dyDescent="0.2">
      <c r="B49" s="1" t="s">
        <v>54</v>
      </c>
      <c r="C49" s="48">
        <v>0</v>
      </c>
      <c r="D49" s="49">
        <v>185781</v>
      </c>
      <c r="E49" s="48">
        <v>0</v>
      </c>
      <c r="F49" s="47">
        <v>120872</v>
      </c>
      <c r="G49" s="48">
        <v>0</v>
      </c>
      <c r="H49" s="47">
        <v>78434</v>
      </c>
      <c r="I49" s="48">
        <v>4723</v>
      </c>
      <c r="J49" s="49">
        <v>133311</v>
      </c>
      <c r="K49" s="48">
        <v>27990</v>
      </c>
      <c r="L49" s="49">
        <v>102908</v>
      </c>
      <c r="M49" s="48">
        <v>3065</v>
      </c>
      <c r="N49" s="49">
        <v>79040</v>
      </c>
      <c r="O49" s="48">
        <v>0</v>
      </c>
      <c r="P49" s="49">
        <v>8611</v>
      </c>
      <c r="Q49" s="48">
        <v>0</v>
      </c>
      <c r="R49" s="49">
        <v>10738</v>
      </c>
      <c r="S49" s="48">
        <v>0</v>
      </c>
      <c r="T49" s="49">
        <v>0</v>
      </c>
      <c r="U49" s="48">
        <v>0</v>
      </c>
      <c r="V49" s="49">
        <v>0</v>
      </c>
    </row>
    <row r="50" spans="2:22" s="1" customFormat="1" ht="12" x14ac:dyDescent="0.2">
      <c r="B50" s="1" t="s">
        <v>55</v>
      </c>
      <c r="C50" s="48">
        <v>-309967</v>
      </c>
      <c r="D50" s="49">
        <v>-597911</v>
      </c>
      <c r="E50" s="48">
        <v>-143125</v>
      </c>
      <c r="F50" s="47">
        <v>-240826</v>
      </c>
      <c r="G50" s="48">
        <v>-104468</v>
      </c>
      <c r="H50" s="47">
        <v>-343542</v>
      </c>
      <c r="I50" s="48">
        <v>-214338</v>
      </c>
      <c r="J50" s="49">
        <v>-431915</v>
      </c>
      <c r="K50" s="48">
        <v>-169105</v>
      </c>
      <c r="L50" s="49">
        <v>-360559</v>
      </c>
      <c r="M50" s="48">
        <v>-184732</v>
      </c>
      <c r="N50" s="49">
        <v>-575887</v>
      </c>
      <c r="O50" s="48">
        <v>-486586</v>
      </c>
      <c r="P50" s="49">
        <v>-980062</v>
      </c>
      <c r="Q50" s="48">
        <v>-579512</v>
      </c>
      <c r="R50" s="49">
        <v>-1249790</v>
      </c>
      <c r="S50" s="48">
        <v>-732221</v>
      </c>
      <c r="T50" s="49">
        <v>-1494839</v>
      </c>
      <c r="U50" s="48">
        <v>-1436063</v>
      </c>
      <c r="V50" s="49">
        <v>-3182928</v>
      </c>
    </row>
    <row r="51" spans="2:22" s="1" customFormat="1" ht="12" x14ac:dyDescent="0.2">
      <c r="B51" s="1" t="s">
        <v>26</v>
      </c>
      <c r="C51" s="48">
        <v>0</v>
      </c>
      <c r="D51" s="49">
        <v>0</v>
      </c>
      <c r="E51" s="48">
        <v>0</v>
      </c>
      <c r="F51" s="47">
        <v>0</v>
      </c>
      <c r="G51" s="48">
        <v>0</v>
      </c>
      <c r="H51" s="47">
        <v>0</v>
      </c>
      <c r="I51" s="48">
        <v>0</v>
      </c>
      <c r="J51" s="49">
        <v>0</v>
      </c>
      <c r="K51" s="48">
        <v>0</v>
      </c>
      <c r="L51" s="49">
        <v>0</v>
      </c>
      <c r="M51" s="48">
        <v>0</v>
      </c>
      <c r="N51" s="49">
        <v>0</v>
      </c>
      <c r="O51" s="48">
        <v>0</v>
      </c>
      <c r="P51" s="49">
        <v>0</v>
      </c>
      <c r="Q51" s="48">
        <v>0</v>
      </c>
      <c r="R51" s="49">
        <v>0</v>
      </c>
      <c r="S51" s="48">
        <v>0</v>
      </c>
      <c r="T51" s="49">
        <v>0</v>
      </c>
      <c r="U51" s="48"/>
      <c r="V51" s="49"/>
    </row>
    <row r="52" spans="2:22" s="1" customFormat="1" ht="12" x14ac:dyDescent="0.2">
      <c r="B52" s="10" t="s">
        <v>56</v>
      </c>
      <c r="C52" s="51">
        <f>SUM(C45:C51)</f>
        <v>-451825</v>
      </c>
      <c r="D52" s="52">
        <f t="shared" ref="D52:Q52" si="8">SUM(D45:D51)</f>
        <v>-160669</v>
      </c>
      <c r="E52" s="51">
        <f t="shared" si="8"/>
        <v>2231701</v>
      </c>
      <c r="F52" s="53">
        <f t="shared" si="8"/>
        <v>2440966</v>
      </c>
      <c r="G52" s="51">
        <f t="shared" si="8"/>
        <v>-1395130</v>
      </c>
      <c r="H52" s="51">
        <f t="shared" si="8"/>
        <v>-1720758</v>
      </c>
      <c r="I52" s="51">
        <f t="shared" si="8"/>
        <v>2143206</v>
      </c>
      <c r="J52" s="52">
        <f t="shared" si="8"/>
        <v>2469229</v>
      </c>
      <c r="K52" s="51">
        <f t="shared" si="8"/>
        <v>2386912</v>
      </c>
      <c r="L52" s="52">
        <f t="shared" si="8"/>
        <v>503857</v>
      </c>
      <c r="M52" s="51">
        <f t="shared" si="8"/>
        <v>1766695</v>
      </c>
      <c r="N52" s="52">
        <f t="shared" si="8"/>
        <v>3365481</v>
      </c>
      <c r="O52" s="51">
        <f t="shared" si="8"/>
        <v>5036255</v>
      </c>
      <c r="P52" s="52">
        <f t="shared" si="8"/>
        <v>2890908</v>
      </c>
      <c r="Q52" s="51">
        <f t="shared" si="8"/>
        <v>4569686</v>
      </c>
      <c r="R52" s="52">
        <f>SUM(R45:R51)</f>
        <v>8646695</v>
      </c>
      <c r="S52" s="51">
        <f t="shared" ref="S52:U52" si="9">SUM(S45:S51)</f>
        <v>11011287</v>
      </c>
      <c r="T52" s="52">
        <f>SUM(T45:T51)</f>
        <v>12232572</v>
      </c>
      <c r="U52" s="51">
        <f t="shared" si="9"/>
        <v>876295</v>
      </c>
      <c r="V52" s="52">
        <f>SUM(V45:V51)</f>
        <v>2688126</v>
      </c>
    </row>
    <row r="53" spans="2:22" s="1" customFormat="1" ht="12" x14ac:dyDescent="0.2">
      <c r="C53" s="48"/>
      <c r="D53" s="49"/>
      <c r="E53" s="48"/>
      <c r="F53" s="47"/>
      <c r="G53" s="48"/>
      <c r="H53" s="47"/>
      <c r="I53" s="48"/>
      <c r="J53" s="49"/>
      <c r="K53" s="48"/>
      <c r="L53" s="49"/>
      <c r="M53" s="48"/>
      <c r="N53" s="49"/>
      <c r="O53" s="48"/>
      <c r="P53" s="49"/>
      <c r="Q53" s="48"/>
      <c r="R53" s="49"/>
      <c r="S53" s="48"/>
      <c r="T53" s="49"/>
      <c r="U53" s="48"/>
      <c r="V53" s="49"/>
    </row>
    <row r="54" spans="2:22" s="1" customFormat="1" ht="12" x14ac:dyDescent="0.2">
      <c r="B54" s="1" t="s">
        <v>57</v>
      </c>
      <c r="C54" s="48">
        <v>-35332</v>
      </c>
      <c r="D54" s="49">
        <v>-152622</v>
      </c>
      <c r="E54" s="48">
        <v>-192867</v>
      </c>
      <c r="F54" s="47">
        <v>-571942</v>
      </c>
      <c r="G54" s="48">
        <v>-567076</v>
      </c>
      <c r="H54" s="47">
        <v>-1268694</v>
      </c>
      <c r="I54" s="48">
        <v>-1433177</v>
      </c>
      <c r="J54" s="49">
        <v>-2532314</v>
      </c>
      <c r="K54" s="48">
        <v>-1229577</v>
      </c>
      <c r="L54" s="49">
        <v>-1831887</v>
      </c>
      <c r="M54" s="48">
        <v>-1914695</v>
      </c>
      <c r="N54" s="49">
        <v>-3193543</v>
      </c>
      <c r="O54" s="48">
        <v>-1678875</v>
      </c>
      <c r="P54" s="49">
        <v>-3512283</v>
      </c>
      <c r="Q54" s="48">
        <v>-2111463</v>
      </c>
      <c r="R54" s="49">
        <v>-4579993</v>
      </c>
      <c r="S54" s="48">
        <v>-3537169</v>
      </c>
      <c r="T54" s="49">
        <v>-6226806</v>
      </c>
      <c r="U54" s="48">
        <v>-1966771</v>
      </c>
      <c r="V54" s="49">
        <v>-2712976</v>
      </c>
    </row>
    <row r="55" spans="2:22" s="1" customFormat="1" ht="12" x14ac:dyDescent="0.2">
      <c r="B55" s="1" t="s">
        <v>58</v>
      </c>
      <c r="C55" s="48">
        <v>1422</v>
      </c>
      <c r="D55" s="49">
        <v>1276</v>
      </c>
      <c r="E55" s="48">
        <v>0</v>
      </c>
      <c r="F55" s="47">
        <v>3809</v>
      </c>
      <c r="G55" s="48">
        <v>3076</v>
      </c>
      <c r="H55" s="47">
        <v>3397</v>
      </c>
      <c r="I55" s="48">
        <v>575</v>
      </c>
      <c r="J55" s="49">
        <v>1453</v>
      </c>
      <c r="K55" s="48">
        <v>0</v>
      </c>
      <c r="L55" s="49">
        <v>1449</v>
      </c>
      <c r="M55" s="48">
        <v>5278</v>
      </c>
      <c r="N55" s="49">
        <v>5325</v>
      </c>
      <c r="O55" s="48">
        <v>0</v>
      </c>
      <c r="P55" s="49">
        <v>1221</v>
      </c>
      <c r="Q55" s="48">
        <v>918</v>
      </c>
      <c r="R55" s="49">
        <v>1323</v>
      </c>
      <c r="S55" s="48">
        <v>18705</v>
      </c>
      <c r="T55" s="49">
        <v>22589</v>
      </c>
      <c r="U55" s="48">
        <v>63</v>
      </c>
      <c r="V55" s="49">
        <v>729</v>
      </c>
    </row>
    <row r="56" spans="2:22" s="1" customFormat="1" ht="12" x14ac:dyDescent="0.2">
      <c r="B56" s="1" t="s">
        <v>121</v>
      </c>
      <c r="C56" s="48">
        <v>-447</v>
      </c>
      <c r="D56" s="49">
        <v>-982</v>
      </c>
      <c r="E56" s="48">
        <v>-10227</v>
      </c>
      <c r="F56" s="47">
        <v>-13260</v>
      </c>
      <c r="G56" s="48">
        <v>-2207</v>
      </c>
      <c r="H56" s="47">
        <v>-5497</v>
      </c>
      <c r="I56" s="48">
        <v>-12</v>
      </c>
      <c r="J56" s="49">
        <v>-4580</v>
      </c>
      <c r="K56" s="48">
        <v>-2676</v>
      </c>
      <c r="L56" s="49">
        <v>-8127</v>
      </c>
      <c r="M56" s="48">
        <v>-3483</v>
      </c>
      <c r="N56" s="49">
        <v>-10178</v>
      </c>
      <c r="O56" s="48">
        <v>-582</v>
      </c>
      <c r="P56" s="49">
        <v>-9091</v>
      </c>
      <c r="Q56" s="48">
        <v>-19138</v>
      </c>
      <c r="R56" s="49">
        <v>-50212</v>
      </c>
      <c r="S56" s="48">
        <v>-9090</v>
      </c>
      <c r="T56" s="49">
        <v>-49100</v>
      </c>
      <c r="U56" s="48">
        <v>-12137</v>
      </c>
      <c r="V56" s="49">
        <v>-14869</v>
      </c>
    </row>
    <row r="57" spans="2:22" s="1" customFormat="1" ht="12" x14ac:dyDescent="0.2">
      <c r="B57" s="1" t="s">
        <v>207</v>
      </c>
      <c r="C57" s="48">
        <v>0</v>
      </c>
      <c r="D57" s="49">
        <f>1774980</f>
        <v>1774980</v>
      </c>
      <c r="E57" s="48">
        <v>0</v>
      </c>
      <c r="F57" s="47">
        <v>-201285</v>
      </c>
      <c r="G57" s="48">
        <v>0</v>
      </c>
      <c r="H57" s="47">
        <v>-116246</v>
      </c>
      <c r="I57" s="48">
        <v>0</v>
      </c>
      <c r="J57" s="49">
        <v>0</v>
      </c>
      <c r="K57" s="48">
        <v>0</v>
      </c>
      <c r="L57" s="49">
        <v>-28315</v>
      </c>
      <c r="M57" s="48">
        <v>-315086</v>
      </c>
      <c r="N57" s="49">
        <v>-367880</v>
      </c>
      <c r="O57" s="48">
        <v>0</v>
      </c>
      <c r="P57" s="49">
        <f>-(420528+685853)</f>
        <v>-1106381</v>
      </c>
      <c r="Q57" s="48">
        <f>-590110+-4000</f>
        <v>-594110</v>
      </c>
      <c r="R57" s="49">
        <v>-590110</v>
      </c>
      <c r="S57" s="48">
        <v>0</v>
      </c>
      <c r="T57" s="49">
        <v>0</v>
      </c>
      <c r="U57" s="48">
        <v>0</v>
      </c>
      <c r="V57" s="49">
        <v>0</v>
      </c>
    </row>
    <row r="58" spans="2:22" s="1" customFormat="1" ht="12" x14ac:dyDescent="0.2">
      <c r="B58" s="1" t="s">
        <v>203</v>
      </c>
      <c r="C58" s="48">
        <v>560042</v>
      </c>
      <c r="D58" s="49">
        <v>650042</v>
      </c>
      <c r="E58" s="48">
        <v>0</v>
      </c>
      <c r="F58" s="47">
        <v>0</v>
      </c>
      <c r="G58" s="48">
        <v>0</v>
      </c>
      <c r="H58" s="47">
        <v>0</v>
      </c>
      <c r="I58" s="48">
        <v>13326</v>
      </c>
      <c r="J58" s="49">
        <v>16806</v>
      </c>
      <c r="K58" s="48">
        <v>25752</v>
      </c>
      <c r="L58" s="49">
        <v>25752</v>
      </c>
      <c r="M58" s="48">
        <v>0</v>
      </c>
      <c r="N58" s="49">
        <v>0</v>
      </c>
      <c r="O58" s="48">
        <v>0</v>
      </c>
      <c r="P58" s="49">
        <v>0</v>
      </c>
      <c r="Q58" s="48">
        <v>0</v>
      </c>
      <c r="R58" s="49">
        <v>0</v>
      </c>
      <c r="S58" s="48">
        <v>0</v>
      </c>
      <c r="T58" s="49">
        <v>0</v>
      </c>
      <c r="U58" s="48">
        <v>0</v>
      </c>
      <c r="V58" s="49">
        <v>2436</v>
      </c>
    </row>
    <row r="59" spans="2:22" s="1" customFormat="1" ht="12" x14ac:dyDescent="0.2">
      <c r="B59" s="1" t="s">
        <v>59</v>
      </c>
      <c r="C59" s="48">
        <v>-323175</v>
      </c>
      <c r="D59" s="49">
        <v>-310010</v>
      </c>
      <c r="E59" s="48">
        <v>-107260</v>
      </c>
      <c r="F59" s="47">
        <v>0</v>
      </c>
      <c r="G59" s="48">
        <v>0</v>
      </c>
      <c r="H59" s="47">
        <v>-534</v>
      </c>
      <c r="I59" s="48">
        <v>-107</v>
      </c>
      <c r="J59" s="49">
        <v>-19980</v>
      </c>
      <c r="K59" s="48">
        <v>0</v>
      </c>
      <c r="L59" s="49">
        <v>-16515</v>
      </c>
      <c r="M59" s="48">
        <v>-3817</v>
      </c>
      <c r="N59" s="49">
        <v>-23965</v>
      </c>
      <c r="O59" s="48">
        <v>-7400</v>
      </c>
      <c r="P59" s="49">
        <v>-418930</v>
      </c>
      <c r="Q59" s="48">
        <v>-900</v>
      </c>
      <c r="R59" s="49">
        <v>-108828</v>
      </c>
      <c r="S59" s="48">
        <v>0</v>
      </c>
      <c r="T59" s="49">
        <v>-34000</v>
      </c>
      <c r="U59" s="48">
        <v>-19191</v>
      </c>
      <c r="V59" s="49">
        <v>-24430</v>
      </c>
    </row>
    <row r="60" spans="2:22" s="1" customFormat="1" ht="12" x14ac:dyDescent="0.2">
      <c r="B60" s="1" t="s">
        <v>60</v>
      </c>
      <c r="C60" s="48">
        <v>0</v>
      </c>
      <c r="D60" s="49"/>
      <c r="E60" s="48">
        <v>0</v>
      </c>
      <c r="F60" s="47">
        <v>0</v>
      </c>
      <c r="G60" s="48">
        <v>0</v>
      </c>
      <c r="H60" s="47">
        <v>275</v>
      </c>
      <c r="I60" s="48">
        <v>15</v>
      </c>
      <c r="J60" s="49">
        <v>165</v>
      </c>
      <c r="K60" s="48">
        <v>0</v>
      </c>
      <c r="L60" s="49">
        <v>6621</v>
      </c>
      <c r="M60" s="48">
        <v>0</v>
      </c>
      <c r="N60" s="49">
        <v>2879</v>
      </c>
      <c r="O60" s="48">
        <v>23444</v>
      </c>
      <c r="P60" s="49">
        <v>438319</v>
      </c>
      <c r="Q60" s="48">
        <v>933</v>
      </c>
      <c r="R60" s="49">
        <v>94428</v>
      </c>
      <c r="S60" s="48">
        <v>35347</v>
      </c>
      <c r="T60" s="49">
        <v>47596</v>
      </c>
      <c r="U60" s="48">
        <v>1353</v>
      </c>
      <c r="V60" s="49">
        <v>4496</v>
      </c>
    </row>
    <row r="61" spans="2:22" s="1" customFormat="1" ht="12" x14ac:dyDescent="0.2">
      <c r="B61" s="1" t="s">
        <v>143</v>
      </c>
      <c r="C61" s="48">
        <v>168000</v>
      </c>
      <c r="D61" s="49">
        <v>168000</v>
      </c>
      <c r="E61" s="48">
        <v>0</v>
      </c>
      <c r="F61" s="47">
        <v>0</v>
      </c>
      <c r="G61" s="48">
        <v>0</v>
      </c>
      <c r="H61" s="47">
        <v>0</v>
      </c>
      <c r="I61" s="48">
        <v>0</v>
      </c>
      <c r="J61" s="49">
        <v>0</v>
      </c>
      <c r="K61" s="48">
        <v>0</v>
      </c>
      <c r="L61" s="49">
        <v>0</v>
      </c>
      <c r="M61" s="48">
        <v>0</v>
      </c>
      <c r="N61" s="49">
        <v>0</v>
      </c>
      <c r="O61" s="48">
        <v>0</v>
      </c>
      <c r="P61" s="49">
        <v>0</v>
      </c>
      <c r="Q61" s="48">
        <v>0</v>
      </c>
      <c r="R61" s="49">
        <v>0</v>
      </c>
      <c r="S61" s="48">
        <v>0</v>
      </c>
      <c r="T61" s="49">
        <v>0</v>
      </c>
      <c r="U61" s="48">
        <v>0</v>
      </c>
      <c r="V61" s="49">
        <v>0</v>
      </c>
    </row>
    <row r="62" spans="2:22" s="1" customFormat="1" ht="12" x14ac:dyDescent="0.2">
      <c r="B62" s="1" t="s">
        <v>469</v>
      </c>
      <c r="C62" s="48">
        <v>0</v>
      </c>
      <c r="D62" s="49">
        <v>0</v>
      </c>
      <c r="E62" s="48">
        <v>0</v>
      </c>
      <c r="F62" s="47">
        <v>0</v>
      </c>
      <c r="G62" s="48">
        <v>0</v>
      </c>
      <c r="H62" s="47">
        <v>0</v>
      </c>
      <c r="I62" s="48">
        <v>0</v>
      </c>
      <c r="J62" s="49">
        <v>0</v>
      </c>
      <c r="K62" s="48">
        <v>0</v>
      </c>
      <c r="L62" s="49">
        <v>0</v>
      </c>
      <c r="M62" s="48">
        <v>0</v>
      </c>
      <c r="N62" s="49">
        <v>0</v>
      </c>
      <c r="O62" s="48">
        <v>0</v>
      </c>
      <c r="P62" s="49">
        <v>0</v>
      </c>
      <c r="Q62" s="48">
        <v>0</v>
      </c>
      <c r="R62" s="49">
        <v>0</v>
      </c>
      <c r="S62" s="48">
        <v>0</v>
      </c>
      <c r="T62" s="49">
        <v>-243322</v>
      </c>
      <c r="U62" s="48">
        <v>0</v>
      </c>
      <c r="V62" s="49">
        <v>0</v>
      </c>
    </row>
    <row r="63" spans="2:22" s="1" customFormat="1" ht="12" x14ac:dyDescent="0.2">
      <c r="B63" s="1" t="s">
        <v>26</v>
      </c>
      <c r="C63" s="48">
        <v>0</v>
      </c>
      <c r="D63" s="49">
        <v>0</v>
      </c>
      <c r="E63" s="48">
        <v>0</v>
      </c>
      <c r="F63" s="47">
        <v>0</v>
      </c>
      <c r="G63" s="48">
        <v>0</v>
      </c>
      <c r="H63" s="47">
        <v>0</v>
      </c>
      <c r="I63" s="48">
        <v>0</v>
      </c>
      <c r="J63" s="49">
        <v>0</v>
      </c>
      <c r="K63" s="48">
        <v>0</v>
      </c>
      <c r="L63" s="49">
        <v>0</v>
      </c>
      <c r="M63" s="48">
        <v>0</v>
      </c>
      <c r="N63" s="49">
        <v>0</v>
      </c>
      <c r="O63" s="48">
        <v>0</v>
      </c>
      <c r="P63" s="49">
        <v>0</v>
      </c>
      <c r="Q63" s="48">
        <v>0</v>
      </c>
      <c r="R63" s="49">
        <v>0</v>
      </c>
      <c r="S63" s="48">
        <v>0</v>
      </c>
      <c r="T63" s="49">
        <v>0</v>
      </c>
      <c r="U63" s="48">
        <v>0</v>
      </c>
      <c r="V63" s="49">
        <v>0</v>
      </c>
    </row>
    <row r="64" spans="2:22" s="1" customFormat="1" ht="12" x14ac:dyDescent="0.2">
      <c r="B64" s="10" t="s">
        <v>61</v>
      </c>
      <c r="C64" s="51">
        <f t="shared" ref="C64:V64" si="10">SUM(C54:C63)</f>
        <v>370510</v>
      </c>
      <c r="D64" s="52">
        <f t="shared" si="10"/>
        <v>2130684</v>
      </c>
      <c r="E64" s="51">
        <f t="shared" si="10"/>
        <v>-310354</v>
      </c>
      <c r="F64" s="53">
        <f t="shared" si="10"/>
        <v>-782678</v>
      </c>
      <c r="G64" s="51">
        <f t="shared" si="10"/>
        <v>-566207</v>
      </c>
      <c r="H64" s="53">
        <f t="shared" si="10"/>
        <v>-1387299</v>
      </c>
      <c r="I64" s="51">
        <f t="shared" si="10"/>
        <v>-1419380</v>
      </c>
      <c r="J64" s="52">
        <f t="shared" si="10"/>
        <v>-2538450</v>
      </c>
      <c r="K64" s="51">
        <f t="shared" si="10"/>
        <v>-1206501</v>
      </c>
      <c r="L64" s="52">
        <f t="shared" si="10"/>
        <v>-1851022</v>
      </c>
      <c r="M64" s="51">
        <f t="shared" si="10"/>
        <v>-2231803</v>
      </c>
      <c r="N64" s="52">
        <f t="shared" si="10"/>
        <v>-3587362</v>
      </c>
      <c r="O64" s="51">
        <f t="shared" si="10"/>
        <v>-1663413</v>
      </c>
      <c r="P64" s="52">
        <f t="shared" si="10"/>
        <v>-4607145</v>
      </c>
      <c r="Q64" s="51">
        <f t="shared" si="10"/>
        <v>-2723760</v>
      </c>
      <c r="R64" s="52">
        <f t="shared" si="10"/>
        <v>-5233392</v>
      </c>
      <c r="S64" s="51">
        <f t="shared" si="10"/>
        <v>-3492207</v>
      </c>
      <c r="T64" s="52">
        <f t="shared" si="10"/>
        <v>-6483043</v>
      </c>
      <c r="U64" s="51">
        <f t="shared" ref="U64" si="11">SUM(U54:U63)</f>
        <v>-1996683</v>
      </c>
      <c r="V64" s="52">
        <f t="shared" si="10"/>
        <v>-2744614</v>
      </c>
    </row>
    <row r="65" spans="2:22" s="1" customFormat="1" ht="12" x14ac:dyDescent="0.2">
      <c r="B65" s="8"/>
      <c r="C65" s="56"/>
      <c r="D65" s="57"/>
      <c r="E65" s="56"/>
      <c r="F65" s="59"/>
      <c r="G65" s="56"/>
      <c r="H65" s="59"/>
      <c r="I65" s="56"/>
      <c r="J65" s="57"/>
      <c r="K65" s="56"/>
      <c r="L65" s="57"/>
      <c r="M65" s="56"/>
      <c r="N65" s="57"/>
      <c r="O65" s="56"/>
      <c r="P65" s="57"/>
      <c r="Q65" s="56"/>
      <c r="R65" s="57"/>
      <c r="S65" s="56"/>
      <c r="T65" s="57"/>
      <c r="U65" s="56"/>
      <c r="V65" s="57"/>
    </row>
    <row r="66" spans="2:22" s="1" customFormat="1" ht="12" x14ac:dyDescent="0.2">
      <c r="C66" s="48"/>
      <c r="D66" s="49"/>
      <c r="E66" s="48"/>
      <c r="F66" s="47"/>
      <c r="G66" s="48"/>
      <c r="H66" s="47"/>
      <c r="I66" s="48"/>
      <c r="J66" s="49"/>
      <c r="K66" s="48"/>
      <c r="L66" s="49"/>
      <c r="M66" s="48"/>
      <c r="N66" s="49"/>
      <c r="O66" s="48"/>
      <c r="P66" s="49"/>
      <c r="Q66" s="48"/>
      <c r="R66" s="49"/>
      <c r="S66" s="48"/>
      <c r="T66" s="49"/>
      <c r="U66" s="48"/>
      <c r="V66" s="49"/>
    </row>
    <row r="67" spans="2:22" s="1" customFormat="1" ht="12" x14ac:dyDescent="0.2">
      <c r="B67" s="6" t="s">
        <v>72</v>
      </c>
      <c r="C67" s="51">
        <f t="shared" ref="C67:V67" si="12">+C52+C64</f>
        <v>-81315</v>
      </c>
      <c r="D67" s="52">
        <f t="shared" si="12"/>
        <v>1970015</v>
      </c>
      <c r="E67" s="51">
        <f t="shared" si="12"/>
        <v>1921347</v>
      </c>
      <c r="F67" s="53">
        <f t="shared" si="12"/>
        <v>1658288</v>
      </c>
      <c r="G67" s="51">
        <f t="shared" si="12"/>
        <v>-1961337</v>
      </c>
      <c r="H67" s="53">
        <f t="shared" si="12"/>
        <v>-3108057</v>
      </c>
      <c r="I67" s="51">
        <f t="shared" si="12"/>
        <v>723826</v>
      </c>
      <c r="J67" s="52">
        <f t="shared" si="12"/>
        <v>-69221</v>
      </c>
      <c r="K67" s="51">
        <f t="shared" si="12"/>
        <v>1180411</v>
      </c>
      <c r="L67" s="52">
        <f t="shared" si="12"/>
        <v>-1347165</v>
      </c>
      <c r="M67" s="51">
        <f t="shared" si="12"/>
        <v>-465108</v>
      </c>
      <c r="N67" s="52">
        <f t="shared" si="12"/>
        <v>-221881</v>
      </c>
      <c r="O67" s="51">
        <f t="shared" si="12"/>
        <v>3372842</v>
      </c>
      <c r="P67" s="52">
        <f t="shared" si="12"/>
        <v>-1716237</v>
      </c>
      <c r="Q67" s="51">
        <f t="shared" si="12"/>
        <v>1845926</v>
      </c>
      <c r="R67" s="52">
        <f t="shared" si="12"/>
        <v>3413303</v>
      </c>
      <c r="S67" s="51">
        <f t="shared" si="12"/>
        <v>7519080</v>
      </c>
      <c r="T67" s="52">
        <f t="shared" si="12"/>
        <v>5749529</v>
      </c>
      <c r="U67" s="51">
        <f>+U52+U64</f>
        <v>-1120388</v>
      </c>
      <c r="V67" s="52">
        <f t="shared" si="12"/>
        <v>-56488</v>
      </c>
    </row>
    <row r="68" spans="2:22" s="1" customFormat="1" ht="12" x14ac:dyDescent="0.2">
      <c r="C68" s="48"/>
      <c r="D68" s="49"/>
      <c r="E68" s="48"/>
      <c r="F68" s="47"/>
      <c r="G68" s="48"/>
      <c r="H68" s="47"/>
      <c r="I68" s="48"/>
      <c r="J68" s="49"/>
      <c r="K68" s="48"/>
      <c r="L68" s="49"/>
      <c r="M68" s="48"/>
      <c r="N68" s="49"/>
      <c r="O68" s="48"/>
      <c r="P68" s="49"/>
      <c r="Q68" s="48"/>
      <c r="R68" s="49"/>
      <c r="S68" s="48"/>
      <c r="T68" s="49"/>
      <c r="U68" s="48"/>
      <c r="V68" s="49"/>
    </row>
    <row r="69" spans="2:22" s="1" customFormat="1" ht="12" x14ac:dyDescent="0.2">
      <c r="B69" s="1" t="s">
        <v>62</v>
      </c>
      <c r="C69" s="48">
        <v>0</v>
      </c>
      <c r="D69" s="49">
        <v>0</v>
      </c>
      <c r="E69" s="48">
        <v>0</v>
      </c>
      <c r="F69" s="47">
        <v>0</v>
      </c>
      <c r="G69" s="48">
        <v>0</v>
      </c>
      <c r="H69" s="47">
        <v>-19989</v>
      </c>
      <c r="I69" s="48">
        <v>-44995</v>
      </c>
      <c r="J69" s="49">
        <v>-219122</v>
      </c>
      <c r="K69" s="48">
        <v>-149606</v>
      </c>
      <c r="L69" s="49">
        <v>-249604</v>
      </c>
      <c r="M69" s="48">
        <v>-116392</v>
      </c>
      <c r="N69" s="49">
        <v>-420599</v>
      </c>
      <c r="O69" s="48">
        <v>-79876</v>
      </c>
      <c r="P69" s="49">
        <v>-453425</v>
      </c>
      <c r="Q69" s="48">
        <v>-9246</v>
      </c>
      <c r="R69" s="49">
        <v>-760164</v>
      </c>
      <c r="S69" s="48">
        <v>-44601</v>
      </c>
      <c r="T69" s="49">
        <v>-451548</v>
      </c>
      <c r="U69" s="48">
        <v>0</v>
      </c>
      <c r="V69" s="49">
        <v>-150060</v>
      </c>
    </row>
    <row r="70" spans="2:22" s="1" customFormat="1" ht="12" x14ac:dyDescent="0.2">
      <c r="B70" s="1" t="s">
        <v>218</v>
      </c>
      <c r="C70" s="48">
        <v>0</v>
      </c>
      <c r="D70" s="49">
        <v>0</v>
      </c>
      <c r="E70" s="48">
        <v>0</v>
      </c>
      <c r="F70" s="47">
        <f>800453-29583</f>
        <v>770870</v>
      </c>
      <c r="G70" s="48">
        <v>0</v>
      </c>
      <c r="H70" s="47">
        <v>0</v>
      </c>
      <c r="I70" s="48">
        <v>0</v>
      </c>
      <c r="J70" s="49">
        <v>0</v>
      </c>
      <c r="K70" s="48">
        <v>0</v>
      </c>
      <c r="L70" s="49">
        <v>0</v>
      </c>
      <c r="M70" s="48">
        <v>0</v>
      </c>
      <c r="N70" s="49">
        <v>0</v>
      </c>
      <c r="O70" s="48">
        <v>0</v>
      </c>
      <c r="P70" s="49">
        <v>0</v>
      </c>
      <c r="Q70" s="48">
        <v>0</v>
      </c>
      <c r="R70" s="49">
        <v>0</v>
      </c>
      <c r="S70" s="48">
        <v>0</v>
      </c>
      <c r="T70" s="49">
        <v>0</v>
      </c>
      <c r="U70" s="48">
        <v>0</v>
      </c>
      <c r="V70" s="49">
        <v>0</v>
      </c>
    </row>
    <row r="71" spans="2:22" s="1" customFormat="1" ht="12" x14ac:dyDescent="0.2">
      <c r="B71" s="1" t="s">
        <v>122</v>
      </c>
      <c r="C71" s="48">
        <v>0</v>
      </c>
      <c r="D71" s="49">
        <v>0</v>
      </c>
      <c r="E71" s="48">
        <v>0</v>
      </c>
      <c r="F71" s="47">
        <v>0</v>
      </c>
      <c r="G71" s="48">
        <v>0</v>
      </c>
      <c r="H71" s="47">
        <v>79185</v>
      </c>
      <c r="I71" s="48">
        <v>0</v>
      </c>
      <c r="J71" s="49">
        <v>23212</v>
      </c>
      <c r="K71" s="48">
        <v>17167</v>
      </c>
      <c r="L71" s="49">
        <v>20337</v>
      </c>
      <c r="M71" s="48">
        <v>286047</v>
      </c>
      <c r="N71" s="49">
        <v>467605</v>
      </c>
      <c r="O71" s="48">
        <v>31219</v>
      </c>
      <c r="P71" s="49">
        <v>177261</v>
      </c>
      <c r="Q71" s="48">
        <v>0</v>
      </c>
      <c r="R71" s="49">
        <v>969431</v>
      </c>
      <c r="S71" s="48">
        <v>0</v>
      </c>
      <c r="T71" s="49">
        <v>0</v>
      </c>
      <c r="U71" s="48">
        <v>0</v>
      </c>
      <c r="V71" s="49">
        <v>0</v>
      </c>
    </row>
    <row r="72" spans="2:22" s="1" customFormat="1" ht="12" x14ac:dyDescent="0.2">
      <c r="B72" s="1" t="s">
        <v>63</v>
      </c>
      <c r="C72" s="48">
        <v>0</v>
      </c>
      <c r="D72" s="49">
        <v>0</v>
      </c>
      <c r="E72" s="48">
        <v>0</v>
      </c>
      <c r="F72" s="47">
        <v>0</v>
      </c>
      <c r="G72" s="48">
        <v>0</v>
      </c>
      <c r="H72" s="47">
        <v>0</v>
      </c>
      <c r="I72" s="48">
        <v>-16500</v>
      </c>
      <c r="J72" s="49">
        <v>-16500</v>
      </c>
      <c r="K72" s="48">
        <v>-27303</v>
      </c>
      <c r="L72" s="49">
        <v>-38107</v>
      </c>
      <c r="M72" s="48">
        <v>-12045</v>
      </c>
      <c r="N72" s="49">
        <v>-20272</v>
      </c>
      <c r="O72" s="48">
        <v>0</v>
      </c>
      <c r="P72" s="49">
        <v>0</v>
      </c>
      <c r="Q72" s="48">
        <v>0</v>
      </c>
      <c r="R72" s="49">
        <v>0</v>
      </c>
      <c r="S72" s="48">
        <v>0</v>
      </c>
      <c r="T72" s="49">
        <v>0</v>
      </c>
      <c r="U72" s="48">
        <v>0</v>
      </c>
      <c r="V72" s="49">
        <v>0</v>
      </c>
    </row>
    <row r="73" spans="2:22" s="1" customFormat="1" ht="12" x14ac:dyDescent="0.2">
      <c r="B73" s="1" t="s">
        <v>64</v>
      </c>
      <c r="C73" s="48">
        <v>0</v>
      </c>
      <c r="D73" s="49">
        <v>0</v>
      </c>
      <c r="E73" s="48">
        <v>0</v>
      </c>
      <c r="F73" s="47">
        <v>0</v>
      </c>
      <c r="G73" s="48">
        <v>0</v>
      </c>
      <c r="H73" s="47">
        <v>0</v>
      </c>
      <c r="I73" s="48">
        <v>0</v>
      </c>
      <c r="J73" s="49">
        <v>0</v>
      </c>
      <c r="K73" s="48">
        <v>0</v>
      </c>
      <c r="L73" s="49">
        <v>-429162</v>
      </c>
      <c r="M73" s="48">
        <v>-58464</v>
      </c>
      <c r="N73" s="49">
        <f>-(1466096+58464)</f>
        <v>-1524560</v>
      </c>
      <c r="O73" s="48">
        <v>0</v>
      </c>
      <c r="P73" s="49">
        <v>-3295336</v>
      </c>
      <c r="Q73" s="48">
        <v>0</v>
      </c>
      <c r="R73" s="49">
        <v>-3904233</v>
      </c>
      <c r="S73" s="48">
        <v>0</v>
      </c>
      <c r="T73" s="49">
        <v>-4347548</v>
      </c>
      <c r="U73" s="48">
        <v>0</v>
      </c>
      <c r="V73" s="49">
        <v>-866018</v>
      </c>
    </row>
    <row r="74" spans="2:22" s="1" customFormat="1" ht="12" x14ac:dyDescent="0.2">
      <c r="B74" s="1" t="s">
        <v>65</v>
      </c>
      <c r="C74" s="48">
        <v>0</v>
      </c>
      <c r="D74" s="49">
        <v>0</v>
      </c>
      <c r="E74" s="48">
        <v>0</v>
      </c>
      <c r="F74" s="47">
        <v>0</v>
      </c>
      <c r="G74" s="48">
        <v>0</v>
      </c>
      <c r="H74" s="47">
        <v>0</v>
      </c>
      <c r="I74" s="48">
        <v>450000</v>
      </c>
      <c r="J74" s="49">
        <v>450000</v>
      </c>
      <c r="K74" s="48">
        <v>0</v>
      </c>
      <c r="L74" s="49">
        <v>0</v>
      </c>
      <c r="M74" s="48">
        <v>0</v>
      </c>
      <c r="N74" s="49">
        <v>0</v>
      </c>
      <c r="O74" s="48">
        <v>0</v>
      </c>
      <c r="P74" s="49">
        <v>0</v>
      </c>
      <c r="Q74" s="48">
        <v>0</v>
      </c>
      <c r="R74" s="49">
        <v>0</v>
      </c>
      <c r="S74" s="48">
        <v>0</v>
      </c>
      <c r="T74" s="49">
        <v>0</v>
      </c>
      <c r="U74" s="48">
        <v>0</v>
      </c>
      <c r="V74" s="49">
        <v>0</v>
      </c>
    </row>
    <row r="75" spans="2:22" s="1" customFormat="1" ht="12" x14ac:dyDescent="0.2">
      <c r="B75" s="1" t="s">
        <v>66</v>
      </c>
      <c r="C75" s="48">
        <v>0</v>
      </c>
      <c r="D75" s="49">
        <v>0</v>
      </c>
      <c r="E75" s="48">
        <v>0</v>
      </c>
      <c r="F75" s="47">
        <v>0</v>
      </c>
      <c r="G75" s="48">
        <v>-400000</v>
      </c>
      <c r="H75" s="47">
        <v>-450000</v>
      </c>
      <c r="I75" s="48">
        <v>0</v>
      </c>
      <c r="J75" s="49">
        <v>-26437</v>
      </c>
      <c r="K75" s="48">
        <v>0</v>
      </c>
      <c r="L75" s="49">
        <v>0</v>
      </c>
      <c r="M75" s="48">
        <v>0</v>
      </c>
      <c r="N75" s="49">
        <v>0</v>
      </c>
      <c r="O75" s="48">
        <v>0</v>
      </c>
      <c r="P75" s="49">
        <v>0</v>
      </c>
      <c r="Q75" s="48">
        <v>0</v>
      </c>
      <c r="R75" s="49">
        <v>0</v>
      </c>
      <c r="S75" s="48">
        <v>0</v>
      </c>
      <c r="T75" s="49">
        <v>0</v>
      </c>
      <c r="U75" s="48">
        <v>0</v>
      </c>
      <c r="V75" s="49">
        <v>0</v>
      </c>
    </row>
    <row r="76" spans="2:22" s="1" customFormat="1" ht="12" x14ac:dyDescent="0.2">
      <c r="B76" s="1" t="s">
        <v>67</v>
      </c>
      <c r="C76" s="48">
        <v>0</v>
      </c>
      <c r="D76" s="49">
        <v>0</v>
      </c>
      <c r="E76" s="48">
        <v>0</v>
      </c>
      <c r="F76" s="47">
        <v>0</v>
      </c>
      <c r="G76" s="48">
        <v>0</v>
      </c>
      <c r="H76" s="47">
        <v>0</v>
      </c>
      <c r="I76" s="48">
        <v>-4302</v>
      </c>
      <c r="J76" s="49">
        <v>-10245</v>
      </c>
      <c r="K76" s="48">
        <v>-12278</v>
      </c>
      <c r="L76" s="49">
        <v>-38783</v>
      </c>
      <c r="M76" s="48">
        <v>-31582</v>
      </c>
      <c r="N76" s="49">
        <v>-46313</v>
      </c>
      <c r="O76" s="48">
        <v>-23010</v>
      </c>
      <c r="P76" s="49">
        <v>-53643</v>
      </c>
      <c r="Q76" s="48">
        <v>-35620</v>
      </c>
      <c r="R76" s="49">
        <v>-50239</v>
      </c>
      <c r="S76" s="48">
        <v>-35547</v>
      </c>
      <c r="T76" s="49">
        <v>-78186</v>
      </c>
      <c r="U76" s="48">
        <v>-32159</v>
      </c>
      <c r="V76" s="49">
        <v>-83783</v>
      </c>
    </row>
    <row r="77" spans="2:22" s="1" customFormat="1" ht="12" x14ac:dyDescent="0.2">
      <c r="B77" s="1" t="s">
        <v>205</v>
      </c>
      <c r="C77" s="48">
        <v>431110</v>
      </c>
      <c r="D77" s="49">
        <v>2408388</v>
      </c>
      <c r="E77" s="48">
        <v>171305</v>
      </c>
      <c r="F77" s="47">
        <v>1543346</v>
      </c>
      <c r="G77" s="48">
        <v>4048370</v>
      </c>
      <c r="H77" s="47">
        <v>6523699</v>
      </c>
      <c r="I77" s="48">
        <v>1988404</v>
      </c>
      <c r="J77" s="49">
        <v>3482141</v>
      </c>
      <c r="K77" s="48">
        <v>2474286</v>
      </c>
      <c r="L77" s="49">
        <v>7040073</v>
      </c>
      <c r="M77" s="48">
        <v>6191737</v>
      </c>
      <c r="N77" s="49">
        <v>10370224</v>
      </c>
      <c r="O77" s="48">
        <v>4219279</v>
      </c>
      <c r="P77" s="49">
        <v>13800391</v>
      </c>
      <c r="Q77" s="48">
        <v>3441129</v>
      </c>
      <c r="R77" s="49">
        <v>7907678</v>
      </c>
      <c r="S77" s="48">
        <v>4362240</v>
      </c>
      <c r="T77" s="49">
        <v>12388367</v>
      </c>
      <c r="U77" s="48">
        <v>6180354</v>
      </c>
      <c r="V77" s="49">
        <v>10375412</v>
      </c>
    </row>
    <row r="78" spans="2:22" s="1" customFormat="1" ht="12" x14ac:dyDescent="0.2">
      <c r="B78" s="1" t="s">
        <v>204</v>
      </c>
      <c r="C78" s="48">
        <v>-805657</v>
      </c>
      <c r="D78" s="49">
        <v>-4877999</v>
      </c>
      <c r="E78" s="48">
        <v>-1973818</v>
      </c>
      <c r="F78" s="47">
        <v>-2906789</v>
      </c>
      <c r="G78" s="48">
        <v>-2612087</v>
      </c>
      <c r="H78" s="47">
        <v>-4064784</v>
      </c>
      <c r="I78" s="48">
        <v>-2080901</v>
      </c>
      <c r="J78" s="49">
        <v>-3660345</v>
      </c>
      <c r="K78" s="48">
        <v>-2268933</v>
      </c>
      <c r="L78" s="49">
        <v>-4494734</v>
      </c>
      <c r="M78" s="48">
        <v>-3790853</v>
      </c>
      <c r="N78" s="49">
        <v>-8880451</v>
      </c>
      <c r="O78" s="48">
        <v>-4903524</v>
      </c>
      <c r="P78" s="49">
        <v>-8274130</v>
      </c>
      <c r="Q78" s="48">
        <v>-3444972</v>
      </c>
      <c r="R78" s="49">
        <v>-7192029</v>
      </c>
      <c r="S78" s="48">
        <v>-9539522</v>
      </c>
      <c r="T78" s="49">
        <v>-12686501</v>
      </c>
      <c r="U78" s="48">
        <v>-356856</v>
      </c>
      <c r="V78" s="49">
        <v>-7280866</v>
      </c>
    </row>
    <row r="79" spans="2:22" s="1" customFormat="1" ht="12" x14ac:dyDescent="0.2">
      <c r="C79" s="39"/>
      <c r="D79" s="49"/>
      <c r="E79" s="39"/>
      <c r="F79" s="16"/>
      <c r="G79" s="39"/>
      <c r="H79" s="16"/>
      <c r="I79" s="39">
        <v>0</v>
      </c>
      <c r="J79" s="18"/>
      <c r="K79" s="39"/>
      <c r="L79" s="18"/>
      <c r="M79" s="39"/>
      <c r="N79" s="18"/>
      <c r="O79" s="39"/>
      <c r="P79" s="18"/>
      <c r="Q79" s="39"/>
      <c r="R79" s="18"/>
      <c r="S79" s="39"/>
      <c r="T79" s="18"/>
      <c r="U79" s="39"/>
      <c r="V79" s="18"/>
    </row>
    <row r="80" spans="2:22" s="1" customFormat="1" ht="12" x14ac:dyDescent="0.2">
      <c r="B80" s="10" t="s">
        <v>68</v>
      </c>
      <c r="C80" s="43">
        <f>SUM(C69:C78)</f>
        <v>-374547</v>
      </c>
      <c r="D80" s="26">
        <f>SUM(D69:D79)</f>
        <v>-2469611</v>
      </c>
      <c r="E80" s="43">
        <f>SUM(E69:E78)</f>
        <v>-1802513</v>
      </c>
      <c r="F80" s="25">
        <f>SUM(F69:F78)</f>
        <v>-592573</v>
      </c>
      <c r="G80" s="43">
        <f>SUM(G69:G78)</f>
        <v>1036283</v>
      </c>
      <c r="H80" s="25">
        <f>SUM(H69:H78)</f>
        <v>2068111</v>
      </c>
      <c r="I80" s="43">
        <f>SUM(I69:I79)</f>
        <v>291706</v>
      </c>
      <c r="J80" s="26">
        <f>SUM(J69:J78)</f>
        <v>22704</v>
      </c>
      <c r="K80" s="43">
        <f>SUM(K69:K79)</f>
        <v>33333</v>
      </c>
      <c r="L80" s="26">
        <f>SUM(L69:L78)</f>
        <v>1810020</v>
      </c>
      <c r="M80" s="43">
        <f>SUM(M69:M79)</f>
        <v>2468448</v>
      </c>
      <c r="N80" s="26">
        <f>SUM(N69:N78)</f>
        <v>-54366</v>
      </c>
      <c r="O80" s="43">
        <f>SUM(O69:O79)</f>
        <v>-755912</v>
      </c>
      <c r="P80" s="26">
        <f>SUM(P69:P78)</f>
        <v>1901118</v>
      </c>
      <c r="Q80" s="43">
        <f>SUM(Q69:Q79)</f>
        <v>-48709</v>
      </c>
      <c r="R80" s="26">
        <f>SUM(R69:R78)</f>
        <v>-3029556</v>
      </c>
      <c r="S80" s="43">
        <f>SUM(S69:S79)</f>
        <v>-5257430</v>
      </c>
      <c r="T80" s="26">
        <f>SUM(T69:T78)</f>
        <v>-5175416</v>
      </c>
      <c r="U80" s="43">
        <f>SUM(U69:U79)</f>
        <v>5791339</v>
      </c>
      <c r="V80" s="26">
        <f>SUM(V69:V78)</f>
        <v>1994685</v>
      </c>
    </row>
    <row r="81" spans="2:22" s="1" customFormat="1" ht="12" x14ac:dyDescent="0.2">
      <c r="C81" s="39"/>
      <c r="D81" s="18"/>
      <c r="E81" s="39"/>
      <c r="F81" s="16"/>
      <c r="G81" s="39"/>
      <c r="H81" s="16"/>
      <c r="I81" s="39"/>
      <c r="J81" s="18"/>
      <c r="K81" s="39"/>
      <c r="L81" s="18"/>
      <c r="M81" s="39"/>
      <c r="N81" s="18"/>
      <c r="O81" s="39"/>
      <c r="P81" s="18"/>
      <c r="Q81" s="39"/>
      <c r="R81" s="18"/>
      <c r="S81" s="39"/>
      <c r="T81" s="18"/>
      <c r="U81" s="39"/>
      <c r="V81" s="18"/>
    </row>
    <row r="82" spans="2:22" s="1" customFormat="1" ht="12" x14ac:dyDescent="0.2">
      <c r="B82" s="1" t="s">
        <v>6</v>
      </c>
      <c r="C82" s="48">
        <f>SUM(C80,C67)</f>
        <v>-455862</v>
      </c>
      <c r="D82" s="49">
        <f t="shared" ref="D82:R82" si="13">SUM(D80,D67)</f>
        <v>-499596</v>
      </c>
      <c r="E82" s="48">
        <f t="shared" si="13"/>
        <v>118834</v>
      </c>
      <c r="F82" s="47">
        <f t="shared" si="13"/>
        <v>1065715</v>
      </c>
      <c r="G82" s="48">
        <f t="shared" si="13"/>
        <v>-925054</v>
      </c>
      <c r="H82" s="47">
        <f t="shared" si="13"/>
        <v>-1039946</v>
      </c>
      <c r="I82" s="48">
        <f t="shared" si="13"/>
        <v>1015532</v>
      </c>
      <c r="J82" s="49">
        <f t="shared" si="13"/>
        <v>-46517</v>
      </c>
      <c r="K82" s="48">
        <f t="shared" si="13"/>
        <v>1213744</v>
      </c>
      <c r="L82" s="49">
        <f t="shared" si="13"/>
        <v>462855</v>
      </c>
      <c r="M82" s="48">
        <f t="shared" si="13"/>
        <v>2003340</v>
      </c>
      <c r="N82" s="49">
        <f t="shared" si="13"/>
        <v>-276247</v>
      </c>
      <c r="O82" s="48">
        <f t="shared" si="13"/>
        <v>2616930</v>
      </c>
      <c r="P82" s="49">
        <f t="shared" si="13"/>
        <v>184881</v>
      </c>
      <c r="Q82" s="48">
        <f t="shared" si="13"/>
        <v>1797217</v>
      </c>
      <c r="R82" s="49">
        <f t="shared" si="13"/>
        <v>383747</v>
      </c>
      <c r="S82" s="48">
        <f t="shared" ref="S82:U82" si="14">SUM(S80,S67)</f>
        <v>2261650</v>
      </c>
      <c r="T82" s="49">
        <f>SUM(T80,T67)</f>
        <v>574113</v>
      </c>
      <c r="U82" s="48">
        <f t="shared" si="14"/>
        <v>4670951</v>
      </c>
      <c r="V82" s="49">
        <f>SUM(V80,V67)</f>
        <v>1938197</v>
      </c>
    </row>
    <row r="83" spans="2:22" s="1" customFormat="1" ht="12" x14ac:dyDescent="0.2">
      <c r="B83" s="1" t="s">
        <v>69</v>
      </c>
      <c r="C83" s="48">
        <v>53606</v>
      </c>
      <c r="D83" s="49">
        <v>45225</v>
      </c>
      <c r="E83" s="48">
        <v>-2947</v>
      </c>
      <c r="F83" s="47">
        <v>-5492</v>
      </c>
      <c r="G83" s="48">
        <v>37977</v>
      </c>
      <c r="H83" s="47">
        <v>50538</v>
      </c>
      <c r="I83" s="48">
        <v>-56428</v>
      </c>
      <c r="J83" s="49">
        <v>26796</v>
      </c>
      <c r="K83" s="48">
        <v>-56733</v>
      </c>
      <c r="L83" s="49">
        <v>80048</v>
      </c>
      <c r="M83" s="48">
        <v>-38403</v>
      </c>
      <c r="N83" s="49">
        <v>-52907</v>
      </c>
      <c r="O83" s="48">
        <v>-239523</v>
      </c>
      <c r="P83" s="49">
        <v>-144481</v>
      </c>
      <c r="Q83" s="48">
        <v>100069</v>
      </c>
      <c r="R83" s="49">
        <v>162471</v>
      </c>
      <c r="S83" s="48">
        <v>-40268</v>
      </c>
      <c r="T83" s="49">
        <v>-14261</v>
      </c>
      <c r="U83" s="48">
        <v>-42777</v>
      </c>
      <c r="V83" s="49">
        <v>-45600</v>
      </c>
    </row>
    <row r="84" spans="2:22" s="1" customFormat="1" ht="12" x14ac:dyDescent="0.2">
      <c r="B84" s="1" t="s">
        <v>206</v>
      </c>
      <c r="C84" s="48">
        <f>387914-901-338692-83522</f>
        <v>-35201</v>
      </c>
      <c r="D84" s="49">
        <f>323285+367613-738650+77898</f>
        <v>30146</v>
      </c>
      <c r="E84" s="48">
        <v>0</v>
      </c>
      <c r="F84" s="47">
        <v>0</v>
      </c>
      <c r="G84" s="48">
        <v>0</v>
      </c>
      <c r="H84" s="47">
        <v>0</v>
      </c>
      <c r="I84" s="48">
        <v>0</v>
      </c>
      <c r="J84" s="49">
        <v>0</v>
      </c>
      <c r="K84" s="48">
        <v>0</v>
      </c>
      <c r="L84" s="49">
        <v>0</v>
      </c>
      <c r="M84" s="48">
        <v>0</v>
      </c>
      <c r="N84" s="49">
        <v>0</v>
      </c>
      <c r="O84" s="48">
        <v>0</v>
      </c>
      <c r="P84" s="49">
        <v>0</v>
      </c>
      <c r="Q84" s="48">
        <v>0</v>
      </c>
      <c r="R84" s="49">
        <v>0</v>
      </c>
      <c r="S84" s="48">
        <v>0</v>
      </c>
      <c r="T84" s="49">
        <v>0</v>
      </c>
      <c r="U84" s="48">
        <v>0</v>
      </c>
      <c r="V84" s="49">
        <v>0</v>
      </c>
    </row>
    <row r="85" spans="2:22" s="1" customFormat="1" ht="12" x14ac:dyDescent="0.2">
      <c r="B85" s="1" t="s">
        <v>73</v>
      </c>
      <c r="C85" s="48">
        <f>+D85</f>
        <v>458112</v>
      </c>
      <c r="D85" s="49">
        <v>458112</v>
      </c>
      <c r="E85" s="48">
        <f>+F85</f>
        <v>33887</v>
      </c>
      <c r="F85" s="50">
        <v>33887</v>
      </c>
      <c r="G85" s="48">
        <f>+H85</f>
        <v>1094110</v>
      </c>
      <c r="H85" s="50">
        <v>1094110</v>
      </c>
      <c r="I85" s="48">
        <v>104702</v>
      </c>
      <c r="J85" s="49">
        <v>104702</v>
      </c>
      <c r="K85" s="48">
        <v>84981</v>
      </c>
      <c r="L85" s="49">
        <f>+'Balance sheet_'!J31</f>
        <v>84981</v>
      </c>
      <c r="M85" s="48">
        <v>627884</v>
      </c>
      <c r="N85" s="49">
        <f>+'Balance sheet_'!L31</f>
        <v>627884</v>
      </c>
      <c r="O85" s="48">
        <f>+'Balance sheet_'!N31</f>
        <v>298730</v>
      </c>
      <c r="P85" s="49">
        <f>+'Balance sheet_'!N31</f>
        <v>298730</v>
      </c>
      <c r="Q85" s="48">
        <f>+'Balance sheet_'!P31</f>
        <v>339130</v>
      </c>
      <c r="R85" s="49">
        <f>+'Balance sheet_'!P31</f>
        <v>339130</v>
      </c>
      <c r="S85" s="48">
        <f>+'Balance sheet_'!R31</f>
        <v>885348</v>
      </c>
      <c r="T85" s="49">
        <f>+'Balance sheet_'!R31</f>
        <v>885348</v>
      </c>
      <c r="U85" s="48">
        <f>+'Balance sheet_'!T31</f>
        <v>1445200</v>
      </c>
      <c r="V85" s="49">
        <f>+'Balance sheet_'!T31</f>
        <v>1445200</v>
      </c>
    </row>
    <row r="86" spans="2:22" s="1" customFormat="1" ht="12" x14ac:dyDescent="0.2">
      <c r="B86" s="13" t="s">
        <v>70</v>
      </c>
      <c r="C86" s="63">
        <v>20655</v>
      </c>
      <c r="D86" s="64">
        <v>33887</v>
      </c>
      <c r="E86" s="63">
        <f>+E85+E83+E82</f>
        <v>149774</v>
      </c>
      <c r="F86" s="65">
        <f>+F85+F83+F82</f>
        <v>1094110</v>
      </c>
      <c r="G86" s="63">
        <f>+G85+G83+G82</f>
        <v>207033</v>
      </c>
      <c r="H86" s="65">
        <f>+H85+H83+H82</f>
        <v>104702</v>
      </c>
      <c r="I86" s="63">
        <f>+I82+I83+I85</f>
        <v>1063806</v>
      </c>
      <c r="J86" s="64">
        <f>+J85+J83+J82</f>
        <v>84981</v>
      </c>
      <c r="K86" s="63">
        <f>+K82+K83+K85</f>
        <v>1241992</v>
      </c>
      <c r="L86" s="64">
        <f>+L85+L83+L82</f>
        <v>627884</v>
      </c>
      <c r="M86" s="63">
        <f>+M82+M83+M85</f>
        <v>2592821</v>
      </c>
      <c r="N86" s="64">
        <f>+N85+N83+N82</f>
        <v>298730</v>
      </c>
      <c r="O86" s="63">
        <f>+O82+O83+O85</f>
        <v>2676137</v>
      </c>
      <c r="P86" s="64">
        <f>+P85+P83+P82</f>
        <v>339130</v>
      </c>
      <c r="Q86" s="63">
        <f>+Q82+Q83+Q85</f>
        <v>2236416</v>
      </c>
      <c r="R86" s="64">
        <f>+R85+R83+R82</f>
        <v>885348</v>
      </c>
      <c r="S86" s="63">
        <f>+S82+S83+S85</f>
        <v>3106730</v>
      </c>
      <c r="T86" s="64">
        <f>+T85+T83+T82</f>
        <v>1445200</v>
      </c>
      <c r="U86" s="63">
        <f>+U82+U83+U85</f>
        <v>6073374</v>
      </c>
      <c r="V86" s="64">
        <f>+V85+V83+V82</f>
        <v>3337797</v>
      </c>
    </row>
    <row r="87" spans="2:22" s="1" customFormat="1" ht="12" x14ac:dyDescent="0.2">
      <c r="B87" s="5" t="s">
        <v>113</v>
      </c>
      <c r="C87" s="35">
        <f>C85+C83+C82-C86+C84</f>
        <v>0</v>
      </c>
      <c r="D87" s="35">
        <f t="shared" ref="D87:M87" si="15">D85+D83+D82-D86+D84</f>
        <v>0</v>
      </c>
      <c r="E87" s="35">
        <f t="shared" si="15"/>
        <v>0</v>
      </c>
      <c r="F87" s="35">
        <f t="shared" si="15"/>
        <v>0</v>
      </c>
      <c r="G87" s="35">
        <f t="shared" si="15"/>
        <v>0</v>
      </c>
      <c r="H87" s="35">
        <f>H85+H83+H82-H86+H84</f>
        <v>0</v>
      </c>
      <c r="I87" s="35">
        <f t="shared" si="15"/>
        <v>0</v>
      </c>
      <c r="J87" s="35">
        <f t="shared" si="15"/>
        <v>0</v>
      </c>
      <c r="K87" s="35">
        <f t="shared" si="15"/>
        <v>0</v>
      </c>
      <c r="L87" s="35">
        <f t="shared" si="15"/>
        <v>0</v>
      </c>
      <c r="M87" s="35">
        <f t="shared" si="15"/>
        <v>0</v>
      </c>
      <c r="N87" s="35">
        <f t="shared" ref="N87:S87" si="16">N85+N83+N82-N86+N84</f>
        <v>0</v>
      </c>
      <c r="O87" s="35">
        <f t="shared" si="16"/>
        <v>0</v>
      </c>
      <c r="P87" s="35">
        <f t="shared" si="16"/>
        <v>0</v>
      </c>
      <c r="Q87" s="35">
        <f t="shared" si="16"/>
        <v>0</v>
      </c>
      <c r="R87" s="203">
        <f t="shared" si="16"/>
        <v>0</v>
      </c>
      <c r="S87" s="35">
        <f t="shared" si="16"/>
        <v>0</v>
      </c>
      <c r="T87" s="203">
        <f t="shared" ref="T87:U87" si="17">T85+T83+T82-T86+T84</f>
        <v>0</v>
      </c>
      <c r="U87" s="35">
        <f t="shared" si="17"/>
        <v>0</v>
      </c>
      <c r="V87" s="203">
        <f t="shared" ref="V87" si="18">V85+V83+V82-V86+V84</f>
        <v>0</v>
      </c>
    </row>
    <row r="88" spans="2:22" s="1" customFormat="1" ht="12" x14ac:dyDescent="0.2">
      <c r="C88" s="35"/>
      <c r="D88" s="15"/>
      <c r="E88" s="35"/>
      <c r="F88" s="14"/>
      <c r="G88" s="35"/>
      <c r="H88" s="14"/>
      <c r="I88" s="35"/>
      <c r="J88" s="15"/>
      <c r="K88" s="35"/>
      <c r="L88" s="15"/>
      <c r="M88" s="35"/>
      <c r="N88" s="15"/>
      <c r="O88" s="35"/>
      <c r="P88" s="15"/>
      <c r="Q88" s="35"/>
      <c r="R88" s="15"/>
      <c r="S88" s="35"/>
      <c r="T88" s="15"/>
      <c r="U88" s="35"/>
      <c r="V88" s="15"/>
    </row>
    <row r="89" spans="2:22" x14ac:dyDescent="0.25"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</row>
    <row r="90" spans="2:22" ht="23.25" x14ac:dyDescent="0.35">
      <c r="B90" s="229" t="s">
        <v>476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X45"/>
  <sheetViews>
    <sheetView showGridLines="0" tabSelected="1" zoomScale="90" zoomScaleNormal="90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X17" sqref="X17"/>
    </sheetView>
  </sheetViews>
  <sheetFormatPr defaultRowHeight="15" outlineLevelCol="1" x14ac:dyDescent="0.25"/>
  <cols>
    <col min="1" max="1" width="1.42578125" customWidth="1"/>
    <col min="2" max="2" width="33.7109375" customWidth="1"/>
    <col min="3" max="3" width="10" hidden="1" customWidth="1" outlineLevel="1"/>
    <col min="4" max="4" width="10" bestFit="1" customWidth="1" collapsed="1"/>
    <col min="5" max="5" width="10" hidden="1" customWidth="1" outlineLevel="1"/>
    <col min="6" max="6" width="10" bestFit="1" customWidth="1" collapsed="1"/>
    <col min="7" max="7" width="10" hidden="1" customWidth="1" outlineLevel="1"/>
    <col min="8" max="8" width="10" bestFit="1" customWidth="1" collapsed="1"/>
    <col min="9" max="9" width="11" hidden="1" customWidth="1" outlineLevel="1"/>
    <col min="10" max="10" width="11" bestFit="1" customWidth="1" collapsed="1"/>
    <col min="11" max="11" width="11" hidden="1" customWidth="1" outlineLevel="1"/>
    <col min="12" max="12" width="11" bestFit="1" customWidth="1" collapsed="1"/>
    <col min="13" max="13" width="11" hidden="1" customWidth="1" outlineLevel="1"/>
    <col min="14" max="14" width="11" bestFit="1" customWidth="1" collapsed="1"/>
    <col min="15" max="15" width="11" hidden="1" customWidth="1" outlineLevel="1"/>
    <col min="16" max="16" width="11" bestFit="1" customWidth="1" collapsed="1"/>
    <col min="17" max="17" width="11" hidden="1" customWidth="1" outlineLevel="1"/>
    <col min="18" max="18" width="11" bestFit="1" customWidth="1" collapsed="1"/>
    <col min="19" max="19" width="11" hidden="1" customWidth="1" outlineLevel="1"/>
    <col min="20" max="20" width="11" bestFit="1" customWidth="1" collapsed="1"/>
    <col min="21" max="21" width="11" hidden="1" customWidth="1" outlineLevel="1"/>
    <col min="22" max="22" width="11" bestFit="1" customWidth="1" collapsed="1"/>
  </cols>
  <sheetData>
    <row r="1" spans="2:24" s="33" customFormat="1" ht="21" customHeight="1" x14ac:dyDescent="0.25">
      <c r="B1" s="31"/>
      <c r="C1" s="34" t="s">
        <v>99</v>
      </c>
      <c r="D1" s="32">
        <v>2016</v>
      </c>
      <c r="E1" s="34" t="s">
        <v>89</v>
      </c>
      <c r="F1" s="31">
        <v>2017</v>
      </c>
      <c r="G1" s="34" t="s">
        <v>90</v>
      </c>
      <c r="H1" s="31">
        <v>2018</v>
      </c>
      <c r="I1" s="34" t="s">
        <v>91</v>
      </c>
      <c r="J1" s="32">
        <v>2019</v>
      </c>
      <c r="K1" s="34" t="s">
        <v>127</v>
      </c>
      <c r="L1" s="32">
        <v>2020</v>
      </c>
      <c r="M1" s="34" t="s">
        <v>128</v>
      </c>
      <c r="N1" s="32">
        <v>2021</v>
      </c>
      <c r="O1" s="34" t="s">
        <v>436</v>
      </c>
      <c r="P1" s="32">
        <v>2022</v>
      </c>
      <c r="Q1" s="34" t="s">
        <v>437</v>
      </c>
      <c r="R1" s="32">
        <v>2023</v>
      </c>
      <c r="S1" s="34" t="s">
        <v>463</v>
      </c>
      <c r="T1" s="32">
        <v>2024</v>
      </c>
      <c r="U1" s="34" t="s">
        <v>472</v>
      </c>
      <c r="V1" s="32">
        <v>2025</v>
      </c>
    </row>
    <row r="2" spans="2:24" s="1" customFormat="1" ht="18" x14ac:dyDescent="0.25">
      <c r="B2" s="28" t="s">
        <v>96</v>
      </c>
      <c r="C2" s="37"/>
      <c r="D2" s="30"/>
      <c r="E2" s="37"/>
      <c r="F2" s="29"/>
      <c r="G2" s="37"/>
      <c r="H2" s="29"/>
      <c r="I2" s="37"/>
      <c r="J2" s="30"/>
      <c r="K2" s="37"/>
      <c r="L2" s="30"/>
      <c r="M2" s="37"/>
      <c r="N2" s="30"/>
      <c r="O2" s="37"/>
      <c r="P2" s="30"/>
      <c r="Q2" s="37"/>
      <c r="R2" s="30"/>
      <c r="S2" s="37"/>
      <c r="T2" s="30"/>
      <c r="U2" s="37"/>
      <c r="V2" s="30"/>
    </row>
    <row r="3" spans="2:24" s="1" customFormat="1" ht="12" x14ac:dyDescent="0.2">
      <c r="C3" s="35"/>
      <c r="D3" s="15"/>
      <c r="E3" s="35"/>
      <c r="F3" s="14"/>
      <c r="G3" s="35"/>
      <c r="H3" s="14"/>
      <c r="I3" s="35"/>
      <c r="J3" s="15"/>
      <c r="K3" s="35"/>
      <c r="L3" s="15"/>
      <c r="M3" s="35"/>
      <c r="N3" s="15"/>
      <c r="O3" s="35"/>
      <c r="P3" s="15"/>
      <c r="Q3" s="35"/>
      <c r="R3" s="15"/>
      <c r="S3" s="35"/>
      <c r="T3" s="15"/>
      <c r="U3" s="35"/>
      <c r="V3" s="15"/>
    </row>
    <row r="4" spans="2:24" s="1" customFormat="1" ht="12" x14ac:dyDescent="0.2">
      <c r="C4" s="35"/>
      <c r="D4" s="15"/>
      <c r="E4" s="35"/>
      <c r="F4" s="14"/>
      <c r="G4" s="35"/>
      <c r="H4" s="14"/>
      <c r="I4" s="35"/>
      <c r="J4" s="15"/>
      <c r="K4" s="35"/>
      <c r="L4" s="15"/>
      <c r="M4" s="35"/>
      <c r="N4" s="15"/>
      <c r="O4" s="35"/>
      <c r="P4" s="15"/>
      <c r="Q4" s="35"/>
      <c r="R4" s="15"/>
      <c r="S4" s="35"/>
      <c r="T4" s="15"/>
      <c r="U4" s="35"/>
      <c r="V4" s="15"/>
    </row>
    <row r="5" spans="2:24" s="1" customFormat="1" ht="12" x14ac:dyDescent="0.2">
      <c r="B5" s="1" t="s">
        <v>97</v>
      </c>
      <c r="C5" s="39">
        <f>SUMIFS('6М 2016'!D:D,'6М 2016'!G:G,"1")/1000</f>
        <v>795.38830500000006</v>
      </c>
      <c r="D5" s="18">
        <f>SUMIFS('2016'!D:D,'2016'!G:G,"1")/1000</f>
        <v>5246.0111449999995</v>
      </c>
      <c r="E5" s="39">
        <f>SUMIFS('6М 2017'!D:D,'6М 2017'!G:G,"1")/1000</f>
        <v>6844.3165549999985</v>
      </c>
      <c r="F5" s="16">
        <f>SUMIFS('2017'!D:D,'2017'!G:G,"1")/1000</f>
        <v>10036.689484999999</v>
      </c>
      <c r="G5" s="39">
        <f>SUMIFS('6М 2018'!D:D,'6М 2018'!G:G,"1")/1000</f>
        <v>683.41820000000018</v>
      </c>
      <c r="H5" s="16">
        <f>SUMIFS('2018'!D:D,'2018'!G:G,"1")/1000</f>
        <v>6499.8203189999995</v>
      </c>
      <c r="I5" s="39">
        <v>9424</v>
      </c>
      <c r="J5" s="18">
        <v>16967</v>
      </c>
      <c r="K5" s="39">
        <v>9607</v>
      </c>
      <c r="L5" s="18">
        <v>15509</v>
      </c>
      <c r="M5" s="39">
        <v>12993</v>
      </c>
      <c r="N5" s="18">
        <v>27865</v>
      </c>
      <c r="O5" s="39">
        <v>15745</v>
      </c>
      <c r="P5" s="18">
        <v>25570</v>
      </c>
      <c r="Q5" s="39">
        <v>13680</v>
      </c>
      <c r="R5" s="18">
        <v>28206.141466000015</v>
      </c>
      <c r="S5" s="39">
        <v>16290</v>
      </c>
      <c r="T5" s="18">
        <v>25739</v>
      </c>
      <c r="U5" s="39">
        <v>8409</v>
      </c>
      <c r="V5" s="49">
        <v>22242</v>
      </c>
    </row>
    <row r="6" spans="2:24" s="1" customFormat="1" ht="12" x14ac:dyDescent="0.2">
      <c r="B6" s="1" t="s">
        <v>98</v>
      </c>
      <c r="C6" s="39">
        <f>4957+371</f>
        <v>5328</v>
      </c>
      <c r="D6" s="18">
        <f>9195+1366</f>
        <v>10561</v>
      </c>
      <c r="E6" s="39">
        <f>2858+324</f>
        <v>3182</v>
      </c>
      <c r="F6" s="16">
        <v>5037</v>
      </c>
      <c r="G6" s="39">
        <f>6122+1308</f>
        <v>7430</v>
      </c>
      <c r="H6" s="16">
        <v>17156</v>
      </c>
      <c r="I6" s="39">
        <f>10930+791</f>
        <v>11721</v>
      </c>
      <c r="J6" s="18">
        <v>16205</v>
      </c>
      <c r="K6" s="39">
        <f>7784+1547</f>
        <v>9331</v>
      </c>
      <c r="L6" s="18">
        <f>28199</f>
        <v>28199</v>
      </c>
      <c r="M6" s="39">
        <f>20783+1455</f>
        <v>22238</v>
      </c>
      <c r="N6" s="18">
        <v>29738</v>
      </c>
      <c r="O6" s="39">
        <v>19528</v>
      </c>
      <c r="P6" s="18">
        <v>36239</v>
      </c>
      <c r="Q6" s="39">
        <v>30969</v>
      </c>
      <c r="R6" s="18">
        <v>34010</v>
      </c>
      <c r="S6" s="39">
        <v>15580</v>
      </c>
      <c r="T6" s="18">
        <v>22661</v>
      </c>
      <c r="U6" s="39">
        <v>20922</v>
      </c>
      <c r="V6" s="18">
        <v>30081</v>
      </c>
    </row>
    <row r="7" spans="2:24" s="1" customFormat="1" ht="12" x14ac:dyDescent="0.2">
      <c r="B7" s="13" t="s">
        <v>147</v>
      </c>
      <c r="C7" s="85">
        <f>(PL!C7+PL!C8+PL!C9)/C5</f>
        <v>366.75922711737633</v>
      </c>
      <c r="D7" s="27">
        <f>(PL!D7+PL!D8+PL!D9)/D5</f>
        <v>470.75900750874217</v>
      </c>
      <c r="E7" s="85">
        <f>(PL!E7+PL!E8+PL!E9)/E5</f>
        <v>487.60485772125435</v>
      </c>
      <c r="F7" s="27">
        <f>(PL!F7+PL!F8+PL!F9)/F5</f>
        <v>499.1828239269276</v>
      </c>
      <c r="G7" s="85">
        <f>(PL!G7+PL!G8+PL!G9)/G5</f>
        <v>438.21484414667316</v>
      </c>
      <c r="H7" s="27">
        <f>(PL!H7+PL!H8+PL!H9)/H5</f>
        <v>491.32296636952623</v>
      </c>
      <c r="I7" s="85">
        <f>(PL!I7+PL!I8+PL!I9)/I5</f>
        <v>513.39717741935488</v>
      </c>
      <c r="J7" s="27">
        <f>(PL!J7+PL!J8+PL!J9)/J5</f>
        <v>517.38132846113047</v>
      </c>
      <c r="K7" s="85">
        <f>(PL!K7+PL!K8+PL!K9)/K5</f>
        <v>546.51764338503176</v>
      </c>
      <c r="L7" s="27">
        <f>(PL!L7+PL!L8+PL!L9)/L5</f>
        <v>535.58288735572899</v>
      </c>
      <c r="M7" s="85">
        <f>(PL!M7+PL!M8+PL!M9)/M5</f>
        <v>514.29007927345492</v>
      </c>
      <c r="N7" s="27">
        <f>(PL!N7+PL!N8+PL!N9)/N5</f>
        <v>567.71559303786114</v>
      </c>
      <c r="O7" s="85">
        <f>(PL!O7+PL!O8+PL!O9)/O5</f>
        <v>904.15058748809145</v>
      </c>
      <c r="P7" s="27">
        <f>(PL!P7+PL!P8+PL!P9)/P5</f>
        <v>912.24747751271025</v>
      </c>
      <c r="Q7" s="85">
        <f>(PL!Q7+PL!Q8+PL!Q9)/Q5</f>
        <v>927.76549707602339</v>
      </c>
      <c r="R7" s="27">
        <f>(PL!R7+PL!R8+PL!R9)/R5</f>
        <v>989.9487327487966</v>
      </c>
      <c r="S7" s="85">
        <f>(PL!S7+PL!S8+PL!S9)/S5</f>
        <v>1096.1678330263965</v>
      </c>
      <c r="T7" s="27">
        <f>(PL!T7+PL!T8+PL!T9)/T5</f>
        <v>1191.6704223163292</v>
      </c>
      <c r="U7" s="85">
        <f>(PL!U7+PL!U8+PL!U9)/U5</f>
        <v>1146.6425258651445</v>
      </c>
      <c r="V7" s="27">
        <f>(PL!V7+PL!V8+PL!V9)/V5</f>
        <v>1065.8197104576927</v>
      </c>
      <c r="X7" s="67"/>
    </row>
    <row r="8" spans="2:24" s="1" customFormat="1" ht="24.75" customHeight="1" x14ac:dyDescent="0.2">
      <c r="C8" s="35"/>
      <c r="D8" s="15"/>
      <c r="E8" s="35"/>
      <c r="F8" s="14"/>
      <c r="G8" s="35"/>
      <c r="H8" s="14"/>
      <c r="I8" s="35"/>
      <c r="J8" s="14"/>
      <c r="K8" s="35"/>
      <c r="L8" s="14"/>
      <c r="M8" s="35"/>
      <c r="N8" s="14"/>
      <c r="O8" s="35"/>
      <c r="P8" s="14"/>
      <c r="Q8" s="35"/>
      <c r="R8" s="14"/>
      <c r="S8" s="35"/>
      <c r="T8" s="14"/>
      <c r="U8" s="35"/>
      <c r="V8" s="14"/>
    </row>
    <row r="9" spans="2:24" s="1" customFormat="1" ht="18" x14ac:dyDescent="0.25">
      <c r="B9" s="28" t="s">
        <v>146</v>
      </c>
      <c r="C9" s="37"/>
      <c r="D9" s="30"/>
      <c r="E9" s="37"/>
      <c r="F9" s="29"/>
      <c r="G9" s="37"/>
      <c r="H9" s="29"/>
      <c r="I9" s="37"/>
      <c r="J9" s="29"/>
      <c r="K9" s="37"/>
      <c r="L9" s="29"/>
      <c r="M9" s="37"/>
      <c r="N9" s="29"/>
      <c r="O9" s="37"/>
      <c r="P9" s="29"/>
      <c r="Q9" s="37"/>
      <c r="R9" s="29"/>
      <c r="S9" s="37"/>
      <c r="T9" s="29"/>
      <c r="U9" s="37"/>
      <c r="V9" s="29"/>
    </row>
    <row r="10" spans="2:24" s="1" customFormat="1" ht="18" x14ac:dyDescent="0.25">
      <c r="B10" s="28"/>
      <c r="C10" s="38"/>
      <c r="D10" s="29"/>
      <c r="E10" s="37"/>
      <c r="F10" s="29"/>
      <c r="G10" s="37"/>
      <c r="H10" s="29"/>
      <c r="I10" s="37"/>
      <c r="J10" s="29"/>
      <c r="K10" s="37"/>
      <c r="L10" s="29"/>
      <c r="M10" s="37"/>
      <c r="N10" s="29"/>
      <c r="O10" s="37"/>
      <c r="P10" s="29"/>
      <c r="Q10" s="37"/>
      <c r="R10" s="29"/>
      <c r="S10" s="37"/>
      <c r="T10" s="29"/>
      <c r="U10" s="37"/>
      <c r="V10" s="29"/>
    </row>
    <row r="11" spans="2:24" s="1" customFormat="1" ht="12" x14ac:dyDescent="0.2">
      <c r="B11" s="167" t="s">
        <v>134</v>
      </c>
      <c r="C11" s="155">
        <f>'Balance sheet_'!C48+'Balance sheet_'!C55-'Balance sheet_'!C31</f>
        <v>5274451</v>
      </c>
      <c r="D11" s="89">
        <f>'Balance sheet_'!D48+'Balance sheet_'!D55-'Balance sheet_'!D31</f>
        <v>3166113</v>
      </c>
      <c r="E11" s="154">
        <f>'Balance sheet_'!E48+'Balance sheet_'!E55-'Balance sheet_'!E31</f>
        <v>1247713</v>
      </c>
      <c r="F11" s="89">
        <f>'Balance sheet_'!F48+'Balance sheet_'!F55-'Balance sheet_'!F31</f>
        <v>742447</v>
      </c>
      <c r="G11" s="154">
        <f>'Balance sheet_'!G48+'Balance sheet_'!G55-'Balance sheet_'!G31-'Balance sheet_'!G12-'Balance sheet_'!G15</f>
        <v>2665807</v>
      </c>
      <c r="H11" s="89">
        <f>'Balance sheet_'!H48+'Balance sheet_'!H55-'Balance sheet_'!H31-'Balance sheet_'!H12</f>
        <v>3747466</v>
      </c>
      <c r="I11" s="154">
        <f>'Balance sheet_'!I48+'Balance sheet_'!I55-'Balance sheet_'!I31</f>
        <v>3145866</v>
      </c>
      <c r="J11" s="89">
        <f>'Balance sheet_'!J48+'Balance sheet_'!J55-'Balance sheet_'!J31</f>
        <v>4038984</v>
      </c>
      <c r="K11" s="154">
        <f>'Balance sheet_'!K48+'Balance sheet_'!K55-'Balance sheet_'!K31</f>
        <v>3091896</v>
      </c>
      <c r="L11" s="89">
        <f>'Balance sheet_'!L48+'Balance sheet_'!L55-'Balance sheet_'!L31</f>
        <v>6094489</v>
      </c>
      <c r="M11" s="154">
        <f>'Balance sheet_'!M48+'Balance sheet_'!M55-'Balance sheet_'!M31</f>
        <v>6605626</v>
      </c>
      <c r="N11" s="89">
        <f>'Balance sheet_'!N48+'Balance sheet_'!N55-'Balance sheet_'!N31</f>
        <v>8007401</v>
      </c>
      <c r="O11" s="154">
        <f>'Balance sheet_'!O48+'Balance sheet_'!O55-'Balance sheet_'!O31</f>
        <v>4888901</v>
      </c>
      <c r="P11" s="89">
        <f>'Balance sheet_'!P48+'Balance sheet_'!P55-'Balance sheet_'!P31</f>
        <v>13384504</v>
      </c>
      <c r="Q11" s="154">
        <f>'Balance sheet_'!Q48+'Balance sheet_'!Q55-'Balance sheet_'!Q31</f>
        <v>11490310</v>
      </c>
      <c r="R11" s="89">
        <f>'Balance sheet_'!R48+'Balance sheet_'!R55-'Balance sheet_'!R31</f>
        <v>13597302</v>
      </c>
      <c r="S11" s="219">
        <f>'Balance sheet_'!S48+'Balance sheet_'!S55-'Balance sheet_'!S31</f>
        <v>6072388</v>
      </c>
      <c r="T11" s="216">
        <f>'Balance sheet_'!T48+'Balance sheet_'!T55-'Balance sheet_'!T31</f>
        <v>12675616</v>
      </c>
      <c r="U11" s="219">
        <f>'Balance sheet_'!U48+'Balance sheet_'!U55-'Balance sheet_'!U31</f>
        <v>13911386</v>
      </c>
      <c r="V11" s="216">
        <f>'Balance sheet_'!V48+'Balance sheet_'!V55-'Balance sheet_'!V31</f>
        <v>13797416</v>
      </c>
    </row>
    <row r="12" spans="2:24" s="1" customFormat="1" ht="12" x14ac:dyDescent="0.2">
      <c r="B12" s="167" t="s">
        <v>414</v>
      </c>
      <c r="C12" s="155">
        <f>'Balance sheet_'!C48+'Balance sheet_'!C55</f>
        <v>5295106</v>
      </c>
      <c r="D12" s="89">
        <f>'Balance sheet_'!D48+'Balance sheet_'!D55</f>
        <v>3200000</v>
      </c>
      <c r="E12" s="154">
        <f>'Balance sheet_'!E48+'Balance sheet_'!E55</f>
        <v>1397487</v>
      </c>
      <c r="F12" s="89">
        <f>'Balance sheet_'!F48+'Balance sheet_'!F55</f>
        <v>1836557</v>
      </c>
      <c r="G12" s="154">
        <f>'Balance sheet_'!G48+'Balance sheet_'!G55</f>
        <v>3272840</v>
      </c>
      <c r="H12" s="89">
        <f>'Balance sheet_'!H48+'Balance sheet_'!H55</f>
        <v>4302168</v>
      </c>
      <c r="I12" s="154">
        <f>'Balance sheet_'!I48+'Balance sheet_'!I55</f>
        <v>4209672</v>
      </c>
      <c r="J12" s="89">
        <f>'Balance sheet_'!J48+'Balance sheet_'!J55</f>
        <v>4123965</v>
      </c>
      <c r="K12" s="154">
        <f>'Balance sheet_'!K48+'Balance sheet_'!K55</f>
        <v>4333888</v>
      </c>
      <c r="L12" s="89">
        <f>'Balance sheet_'!L48+'Balance sheet_'!L55</f>
        <v>6722373</v>
      </c>
      <c r="M12" s="154">
        <f>'Balance sheet_'!M48+'Balance sheet_'!M55</f>
        <v>9198447</v>
      </c>
      <c r="N12" s="89">
        <f>'Balance sheet_'!N48+'Balance sheet_'!N55</f>
        <v>8306131</v>
      </c>
      <c r="O12" s="154">
        <f>'Balance sheet_'!O48+'Balance sheet_'!O55</f>
        <v>7565038</v>
      </c>
      <c r="P12" s="89">
        <f>'Balance sheet_'!P48+'Balance sheet_'!P55</f>
        <v>13723634</v>
      </c>
      <c r="Q12" s="154">
        <f>'Balance sheet_'!Q48+'Balance sheet_'!Q55</f>
        <v>13726726</v>
      </c>
      <c r="R12" s="89">
        <f>'Balance sheet_'!R48+'Balance sheet_'!R55</f>
        <v>14482650</v>
      </c>
      <c r="S12" s="154">
        <f>'Balance sheet_'!S48+'Balance sheet_'!S55</f>
        <v>9179118</v>
      </c>
      <c r="T12" s="89">
        <f>'Balance sheet_'!T48+'Balance sheet_'!T55</f>
        <v>14120816</v>
      </c>
      <c r="U12" s="219">
        <f>'Balance sheet_'!U48+'Balance sheet_'!U55</f>
        <v>19984760</v>
      </c>
      <c r="V12" s="216">
        <f>'Balance sheet_'!V48+'Balance sheet_'!V55</f>
        <v>17135212</v>
      </c>
    </row>
    <row r="13" spans="2:24" s="1" customFormat="1" ht="12" x14ac:dyDescent="0.2">
      <c r="B13" s="167"/>
      <c r="C13" s="155"/>
      <c r="D13" s="89"/>
      <c r="E13" s="154"/>
      <c r="F13" s="89"/>
      <c r="G13" s="154"/>
      <c r="H13" s="89"/>
      <c r="I13" s="154"/>
      <c r="J13" s="89"/>
      <c r="K13" s="154"/>
      <c r="L13" s="89"/>
      <c r="M13" s="154"/>
      <c r="N13" s="89"/>
      <c r="O13" s="154"/>
      <c r="P13" s="89"/>
      <c r="Q13" s="154"/>
      <c r="R13" s="89"/>
      <c r="S13" s="154"/>
      <c r="T13" s="89"/>
      <c r="U13" s="154"/>
      <c r="V13" s="89"/>
    </row>
    <row r="14" spans="2:24" s="1" customFormat="1" ht="12" x14ac:dyDescent="0.2">
      <c r="B14" s="86" t="s">
        <v>197</v>
      </c>
      <c r="C14" s="35"/>
      <c r="D14" s="14"/>
      <c r="E14" s="35"/>
      <c r="F14" s="14"/>
      <c r="G14" s="35"/>
      <c r="H14" s="14"/>
      <c r="I14" s="35"/>
      <c r="J14" s="14"/>
      <c r="K14" s="35"/>
      <c r="L14" s="14"/>
      <c r="M14" s="35"/>
      <c r="N14" s="14"/>
      <c r="O14" s="35"/>
      <c r="P14" s="14"/>
      <c r="Q14" s="35"/>
      <c r="R14" s="14"/>
      <c r="S14" s="35"/>
      <c r="T14" s="14"/>
      <c r="U14" s="35"/>
      <c r="V14" s="14"/>
    </row>
    <row r="15" spans="2:24" s="1" customFormat="1" ht="12" x14ac:dyDescent="0.2">
      <c r="B15" s="1" t="s">
        <v>130</v>
      </c>
      <c r="C15" s="66">
        <f>(PL!C21)/PL!C6</f>
        <v>-0.33226949395504829</v>
      </c>
      <c r="D15" s="67">
        <f>(PL!D21)/PL!D6</f>
        <v>0.44203418422251739</v>
      </c>
      <c r="E15" s="66">
        <f>(PL!E21)/PL!E6</f>
        <v>0.12274264787475328</v>
      </c>
      <c r="F15" s="67">
        <f>(PL!F21)/PL!F6</f>
        <v>0.17717235882213908</v>
      </c>
      <c r="G15" s="66">
        <f>(PL!G21)/PL!G6</f>
        <v>2.0574443718888126E-3</v>
      </c>
      <c r="H15" s="67">
        <f>(PL!H21)/PL!H6</f>
        <v>0.31418538958491354</v>
      </c>
      <c r="I15" s="66">
        <f>(PL!I21)/PL!I6</f>
        <v>0.46219482220423358</v>
      </c>
      <c r="J15" s="68">
        <f>(PL!J21)/PL!J6</f>
        <v>0.44967551693497221</v>
      </c>
      <c r="K15" s="66">
        <f>(PL!K21)/PL!K6</f>
        <v>0.43522665708089175</v>
      </c>
      <c r="L15" s="68">
        <f>(PL!L21)/PL!L6</f>
        <v>0.40056240963051815</v>
      </c>
      <c r="M15" s="66">
        <f>(PL!M21)/PL!M6</f>
        <v>0.39105922296090839</v>
      </c>
      <c r="N15" s="68">
        <f>(PL!N21)/PL!N6</f>
        <v>0.44389295073968443</v>
      </c>
      <c r="O15" s="66">
        <f>(PL!O21)/PL!O6</f>
        <v>0.613091845375763</v>
      </c>
      <c r="P15" s="68">
        <f>(PL!P21)/PL!P6</f>
        <v>0.58404567642222349</v>
      </c>
      <c r="Q15" s="66">
        <f>(PL!Q21)/PL!Q6</f>
        <v>0.53693822593612683</v>
      </c>
      <c r="R15" s="68">
        <f>(PL!R21)/PL!R6</f>
        <v>0.52713643298434143</v>
      </c>
      <c r="S15" s="66">
        <f>(PL!S21)/PL!S6</f>
        <v>0.52421489884082706</v>
      </c>
      <c r="T15" s="68">
        <f>(PL!T21)/PL!T6</f>
        <v>0.51258664925608566</v>
      </c>
      <c r="U15" s="220">
        <f>(PL!U21)/PL!U6</f>
        <v>0.37495845960502017</v>
      </c>
      <c r="V15" s="215">
        <f>(PL!V21)/PL!V6</f>
        <v>0.35957535082882336</v>
      </c>
    </row>
    <row r="16" spans="2:24" s="1" customFormat="1" ht="12" x14ac:dyDescent="0.2">
      <c r="B16" s="1" t="s">
        <v>195</v>
      </c>
      <c r="C16" s="158" t="s">
        <v>405</v>
      </c>
      <c r="D16" s="67">
        <f>(PL!D61-PL!D52)/PL!D6</f>
        <v>0.37628174676271081</v>
      </c>
      <c r="E16" s="158" t="s">
        <v>405</v>
      </c>
      <c r="F16" s="67">
        <f>(PL!F61-PL!F52)/PL!F6</f>
        <v>0.36323663847320847</v>
      </c>
      <c r="G16" s="66">
        <f>(PL!G61-PL!G52)/PL!G6</f>
        <v>-0.20817924376614044</v>
      </c>
      <c r="H16" s="67">
        <f>(PL!H61-PL!H52)/PL!H6</f>
        <v>0.25185080701911711</v>
      </c>
      <c r="I16" s="66">
        <f>(PL!I61-PL!I52)/PL!I6</f>
        <v>0.40981052136241997</v>
      </c>
      <c r="J16" s="68">
        <f>(PL!J61-PL!J52)/PL!J6</f>
        <v>0.34061970139238229</v>
      </c>
      <c r="K16" s="66">
        <f>(PL!K61-PL!K52)/PL!K6</f>
        <v>0.39138087108889824</v>
      </c>
      <c r="L16" s="68">
        <f>(PL!L61-PL!L52)/PL!L6</f>
        <v>0.34499551758972646</v>
      </c>
      <c r="M16" s="66">
        <f>(PL!M61-PL!M52)/PL!M6</f>
        <v>0.30214834268984275</v>
      </c>
      <c r="N16" s="215">
        <f>(PL!N61-PL!N52)/PL!N6</f>
        <v>0.37570365591722377</v>
      </c>
      <c r="O16" s="66">
        <f>(PL!O61-PL!O52)/PL!O6</f>
        <v>0.54387791244940031</v>
      </c>
      <c r="P16" s="68">
        <f>(PL!P61-PL!P52)/PL!P6</f>
        <v>0.51074566512481512</v>
      </c>
      <c r="Q16" s="66">
        <f>(PL!Q61-PL!Q52)/PL!Q6</f>
        <v>0.44208866400880836</v>
      </c>
      <c r="R16" s="68">
        <f>(PL!R61-PL!R52)/PL!R6</f>
        <v>0.40782189264920277</v>
      </c>
      <c r="S16" s="66">
        <f>(PL!S61-PL!S52)/PL!S6</f>
        <v>0.35774974265328013</v>
      </c>
      <c r="T16" s="68">
        <f>(PL!T61-PL!T52)/PL!T6</f>
        <v>0.35186213797133087</v>
      </c>
      <c r="U16" s="220">
        <f>(PL!U61-PL!U52)/PL!U6</f>
        <v>0.19144859555893243</v>
      </c>
      <c r="V16" s="215">
        <f>(PL!V61-PL!V52)/PL!V6</f>
        <v>0.18137085464040545</v>
      </c>
    </row>
    <row r="17" spans="2:22" s="2" customFormat="1" ht="12" x14ac:dyDescent="0.2">
      <c r="B17" s="2" t="s">
        <v>194</v>
      </c>
      <c r="C17" s="170" t="s">
        <v>405</v>
      </c>
      <c r="D17" s="174">
        <f>PL!D61/PL!D6</f>
        <v>0.40984145604493266</v>
      </c>
      <c r="E17" s="170" t="s">
        <v>405</v>
      </c>
      <c r="F17" s="171">
        <f>PL!F61/PL!F6</f>
        <v>0.41046401625459694</v>
      </c>
      <c r="G17" s="172">
        <f>PL!G61/PL!G6</f>
        <v>-0.13688075682451345</v>
      </c>
      <c r="H17" s="171">
        <f>PL!H61/PL!H6</f>
        <v>0.30315465448073403</v>
      </c>
      <c r="I17" s="172">
        <f>PL!I61/PL!I6</f>
        <v>0.44948386659461148</v>
      </c>
      <c r="J17" s="173">
        <f>PL!J61/PL!J6</f>
        <v>0.39006492389099623</v>
      </c>
      <c r="K17" s="172">
        <f>PL!K61/PL!K6</f>
        <v>0.43705329524649722</v>
      </c>
      <c r="L17" s="173">
        <f>PL!L61/PL!L6</f>
        <v>0.40482660755859251</v>
      </c>
      <c r="M17" s="172">
        <f>PL!M61/PL!M6</f>
        <v>0.35986515194075186</v>
      </c>
      <c r="N17" s="173">
        <f>PL!N61/PL!N6</f>
        <v>0.42473648271386966</v>
      </c>
      <c r="O17" s="172">
        <f>PL!O61/PL!O6</f>
        <v>0.57543654729155469</v>
      </c>
      <c r="P17" s="173">
        <f>PL!P61/PL!P6</f>
        <v>0.55029029658994855</v>
      </c>
      <c r="Q17" s="172">
        <f>PL!Q61/PL!Q6</f>
        <v>0.48655951907643941</v>
      </c>
      <c r="R17" s="173">
        <f>PL!R61/PL!R6</f>
        <v>0.45173047663225319</v>
      </c>
      <c r="S17" s="172">
        <f>PL!S61/PL!S6</f>
        <v>0.40395236823308694</v>
      </c>
      <c r="T17" s="217">
        <f>PL!T61/PL!T6</f>
        <v>0.39556523439362384</v>
      </c>
      <c r="U17" s="221">
        <f>PL!U61/PL!U6</f>
        <v>0.24522513127461507</v>
      </c>
      <c r="V17" s="217">
        <f>PL!V61/PL!V6</f>
        <v>0.23135073921401828</v>
      </c>
    </row>
    <row r="18" spans="2:22" s="2" customFormat="1" ht="12" x14ac:dyDescent="0.2">
      <c r="B18" s="175" t="s">
        <v>131</v>
      </c>
      <c r="C18" s="176">
        <f>PL!C48/PL!C6</f>
        <v>-0.29738931111892464</v>
      </c>
      <c r="D18" s="177">
        <f>PL!D48/PL!D6</f>
        <v>0.86166425909947297</v>
      </c>
      <c r="E18" s="176">
        <f>PL!E48/PL!E6</f>
        <v>1.7244963364622282E-2</v>
      </c>
      <c r="F18" s="178">
        <f>PL!F48/PL!F6</f>
        <v>7.4919450817956756E-2</v>
      </c>
      <c r="G18" s="176">
        <f>PL!G48/PL!G6</f>
        <v>0.50459889678979608</v>
      </c>
      <c r="H18" s="178">
        <f>PL!H48/PL!H6</f>
        <v>0.71333913734457766</v>
      </c>
      <c r="I18" s="176">
        <f>PL!I48/PL!I6</f>
        <v>0.20760836040725328</v>
      </c>
      <c r="J18" s="178">
        <f>PL!J48/PL!J6</f>
        <v>0.37029633672497264</v>
      </c>
      <c r="K18" s="176">
        <f>PL!K48/PL!K6</f>
        <v>-7.6475796711290123E-2</v>
      </c>
      <c r="L18" s="178">
        <f>PL!L48/PL!L6</f>
        <v>0.38055201365368679</v>
      </c>
      <c r="M18" s="176">
        <f>PL!M48/PL!M6</f>
        <v>0.29195271713897281</v>
      </c>
      <c r="N18" s="178">
        <f>PL!N48/PL!N6</f>
        <v>0.53430780026257418</v>
      </c>
      <c r="O18" s="176">
        <f>PL!O48/PL!O6</f>
        <v>0.57867794573822973</v>
      </c>
      <c r="P18" s="178">
        <f>PL!P48/PL!P6</f>
        <v>0.51978682577502666</v>
      </c>
      <c r="Q18" s="176">
        <f>PL!Q48/PL!Q6</f>
        <v>0.66896282658752459</v>
      </c>
      <c r="R18" s="178">
        <f>PL!R48/PL!R6</f>
        <v>0.54322598735817218</v>
      </c>
      <c r="S18" s="176">
        <f>PL!S48/PL!S6</f>
        <v>-7.7514753605468195E-2</v>
      </c>
      <c r="T18" s="178">
        <f>PL!T48/PL!T6</f>
        <v>0.24604971449555132</v>
      </c>
      <c r="U18" s="223">
        <f>PL!U48/PL!U6</f>
        <v>-0.74286388515134538</v>
      </c>
      <c r="V18" s="227">
        <f>PL!V48/PL!V6</f>
        <v>-9.0826233275716317E-2</v>
      </c>
    </row>
    <row r="19" spans="2:22" s="1" customFormat="1" ht="12" x14ac:dyDescent="0.2">
      <c r="C19" s="44"/>
      <c r="D19" s="11"/>
      <c r="E19" s="44"/>
      <c r="G19" s="44"/>
      <c r="I19" s="44"/>
      <c r="K19" s="44"/>
      <c r="M19" s="44"/>
      <c r="O19" s="44"/>
      <c r="Q19" s="44"/>
      <c r="S19" s="44"/>
      <c r="U19" s="44"/>
    </row>
    <row r="20" spans="2:22" s="1" customFormat="1" ht="12" x14ac:dyDescent="0.2">
      <c r="B20" s="86" t="s">
        <v>198</v>
      </c>
      <c r="C20" s="35"/>
      <c r="D20" s="14"/>
      <c r="E20" s="35"/>
      <c r="F20" s="14"/>
      <c r="G20" s="35"/>
      <c r="H20" s="14"/>
      <c r="I20" s="35"/>
      <c r="J20" s="14"/>
      <c r="K20" s="35"/>
      <c r="L20" s="14"/>
      <c r="M20" s="35"/>
      <c r="N20" s="14"/>
      <c r="O20" s="35"/>
      <c r="P20" s="14"/>
      <c r="Q20" s="35"/>
      <c r="R20" s="14"/>
      <c r="S20" s="35"/>
      <c r="T20" s="14"/>
      <c r="U20" s="35"/>
      <c r="V20" s="14"/>
    </row>
    <row r="21" spans="2:22" s="1" customFormat="1" ht="12" x14ac:dyDescent="0.2">
      <c r="B21" s="1" t="s">
        <v>132</v>
      </c>
      <c r="C21" s="158" t="s">
        <v>406</v>
      </c>
      <c r="D21" s="159" t="s">
        <v>406</v>
      </c>
      <c r="E21" s="158" t="s">
        <v>406</v>
      </c>
      <c r="F21" s="3">
        <f>PL!F6/(('Balance sheet_'!F26+'Balance sheet_'!D26-'Balance sheet_'!F61-'Balance sheet_'!D61)/2)</f>
        <v>30.003925176692697</v>
      </c>
      <c r="G21" s="158" t="s">
        <v>406</v>
      </c>
      <c r="H21" s="3">
        <f>PL!H6/(('Balance sheet_'!H26+'Balance sheet_'!F26-'Balance sheet_'!H61-'Balance sheet_'!F61)/2)</f>
        <v>19.257145940889714</v>
      </c>
      <c r="I21" s="158" t="s">
        <v>406</v>
      </c>
      <c r="J21" s="69">
        <f>PL!J6/(('Balance sheet_'!J26+'Balance sheet_'!H26-'Balance sheet_'!J61-'Balance sheet_'!H61)/2)</f>
        <v>20.191076575666894</v>
      </c>
      <c r="K21" s="158" t="s">
        <v>406</v>
      </c>
      <c r="L21" s="69">
        <f>PL!L6/(('Balance sheet_'!L26+'Balance sheet_'!J26-'Balance sheet_'!L61-'Balance sheet_'!J61)/2)</f>
        <v>15.833693279920679</v>
      </c>
      <c r="M21" s="158" t="s">
        <v>406</v>
      </c>
      <c r="N21" s="69">
        <f>PL!N6/(('Balance sheet_'!N26+'Balance sheet_'!L26-'Balance sheet_'!N61-'Balance sheet_'!L61)/2)</f>
        <v>15.763821399101495</v>
      </c>
      <c r="O21" s="158" t="s">
        <v>406</v>
      </c>
      <c r="P21" s="69">
        <f>PL!P6/(('Balance sheet_'!P26+'Balance sheet_'!N26-'Balance sheet_'!P61-'Balance sheet_'!N61)/2)</f>
        <v>11.644805886579293</v>
      </c>
      <c r="Q21" s="158" t="s">
        <v>406</v>
      </c>
      <c r="R21" s="69">
        <f>PL!R6/(('Balance sheet_'!R26+'Balance sheet_'!P26-'Balance sheet_'!R61-'Balance sheet_'!P61)/2)</f>
        <v>11.255790433639065</v>
      </c>
      <c r="S21" s="158" t="s">
        <v>406</v>
      </c>
      <c r="T21" s="69">
        <f>PL!T6/(('Balance sheet_'!T26+'Balance sheet_'!R26-'Balance sheet_'!T61-'Balance sheet_'!R61)/2)</f>
        <v>13.363102573150497</v>
      </c>
      <c r="U21" s="158" t="s">
        <v>406</v>
      </c>
      <c r="V21" s="69">
        <f>PL!V6/(('Balance sheet_'!V26+'Balance sheet_'!T26-'Balance sheet_'!V61-'Balance sheet_'!T61)/2)</f>
        <v>14.398072761408248</v>
      </c>
    </row>
    <row r="22" spans="2:22" s="1" customFormat="1" ht="12" x14ac:dyDescent="0.2">
      <c r="B22" s="1" t="s">
        <v>133</v>
      </c>
      <c r="C22" s="158" t="s">
        <v>406</v>
      </c>
      <c r="D22" s="159" t="s">
        <v>406</v>
      </c>
      <c r="E22" s="158" t="s">
        <v>406</v>
      </c>
      <c r="F22" s="16">
        <f>-PL!F13/((('Balance sheet_'!F57+'Balance sheet_'!F59)+('Balance sheet_'!D57+'Balance sheet_'!D59)-('Balance sheet_'!F28+'Balance sheet_'!D28))/2)</f>
        <v>-22.73711779820956</v>
      </c>
      <c r="G22" s="206" t="s">
        <v>406</v>
      </c>
      <c r="H22" s="16">
        <f>-PL!H13/((('Balance sheet_'!H57+'Balance sheet_'!H59)+('Balance sheet_'!F57+'Balance sheet_'!F59)-('Balance sheet_'!H28+'Balance sheet_'!F28))/2)</f>
        <v>-853.03756777691717</v>
      </c>
      <c r="I22" s="206" t="s">
        <v>406</v>
      </c>
      <c r="J22" s="17">
        <f>-PL!J13/((('Balance sheet_'!J57+'Balance sheet_'!J59)+('Balance sheet_'!H57+'Balance sheet_'!H59)-('Balance sheet_'!J28+'Balance sheet_'!H28))/2)</f>
        <v>33.070971928146982</v>
      </c>
      <c r="K22" s="206" t="s">
        <v>406</v>
      </c>
      <c r="L22" s="17">
        <f>-PL!L13/((('Balance sheet_'!L57+'Balance sheet_'!L59)+('Balance sheet_'!J57+'Balance sheet_'!J59)-('Balance sheet_'!L28+'Balance sheet_'!J28))/2)</f>
        <v>29.194013805755418</v>
      </c>
      <c r="M22" s="206" t="s">
        <v>406</v>
      </c>
      <c r="N22" s="17">
        <f>-PL!N13/((('Balance sheet_'!N57+'Balance sheet_'!N59)+('Balance sheet_'!L57+'Balance sheet_'!L59)-('Balance sheet_'!N28+'Balance sheet_'!L28))/2)</f>
        <v>51.145852669806764</v>
      </c>
      <c r="O22" s="206" t="s">
        <v>406</v>
      </c>
      <c r="P22" s="17">
        <f>-PL!P13/((('Balance sheet_'!P57+'Balance sheet_'!P59)+('Balance sheet_'!N57+'Balance sheet_'!N59)-('Balance sheet_'!P28+'Balance sheet_'!N28))/2)</f>
        <v>-6.6764913090708786</v>
      </c>
      <c r="Q22" s="206" t="s">
        <v>406</v>
      </c>
      <c r="R22" s="17">
        <f>-PL!R13/((('Balance sheet_'!R57+'Balance sheet_'!R59)+('Balance sheet_'!P57+'Balance sheet_'!P59)-('Balance sheet_'!R28+'Balance sheet_'!P28))/2)</f>
        <v>-5.0474799624453972</v>
      </c>
      <c r="S22" s="206" t="s">
        <v>406</v>
      </c>
      <c r="T22" s="17">
        <f>-PL!T13/((('Balance sheet_'!T57+'Balance sheet_'!T59)+('Balance sheet_'!R57+'Balance sheet_'!R59)-('Balance sheet_'!T28+'Balance sheet_'!R28))/2)</f>
        <v>-6.5997413882834941</v>
      </c>
      <c r="U22" s="206" t="s">
        <v>406</v>
      </c>
      <c r="V22" s="17">
        <f>-PL!V13/((('Balance sheet_'!V57+'Balance sheet_'!V59)+('Balance sheet_'!T57+'Balance sheet_'!T59)-('Balance sheet_'!V28+'Balance sheet_'!T28))/2)</f>
        <v>-13.410980086541089</v>
      </c>
    </row>
    <row r="23" spans="2:22" s="1" customFormat="1" ht="12" x14ac:dyDescent="0.2">
      <c r="B23" s="87" t="s">
        <v>196</v>
      </c>
      <c r="C23" s="160" t="s">
        <v>406</v>
      </c>
      <c r="D23" s="161" t="s">
        <v>406</v>
      </c>
      <c r="E23" s="160" t="s">
        <v>406</v>
      </c>
      <c r="F23" s="88">
        <f>-PL!F13/(('Balance sheet_'!F22+'Balance sheet_'!D22+'Balance sheet_'!F23+'Balance sheet_'!D23)/2)</f>
        <v>1.5346442434388885</v>
      </c>
      <c r="G23" s="160" t="s">
        <v>406</v>
      </c>
      <c r="H23" s="88">
        <f>-PL!H13/(('Balance sheet_'!H22+'Balance sheet_'!F22+'Balance sheet_'!H23+'Balance sheet_'!F23)/2)</f>
        <v>0.5296865158754952</v>
      </c>
      <c r="I23" s="160" t="s">
        <v>406</v>
      </c>
      <c r="J23" s="88">
        <f>-PL!J13/(('Balance sheet_'!J22+'Balance sheet_'!H22+'Balance sheet_'!J23+'Balance sheet_'!H23)/2)</f>
        <v>0.69718747507175738</v>
      </c>
      <c r="K23" s="160" t="s">
        <v>406</v>
      </c>
      <c r="L23" s="88">
        <f>-PL!L13/(('Balance sheet_'!L22+'Balance sheet_'!J22+'Balance sheet_'!L23+'Balance sheet_'!J23)/2)</f>
        <v>0.54434737053731364</v>
      </c>
      <c r="M23" s="160" t="s">
        <v>406</v>
      </c>
      <c r="N23" s="88">
        <f>-PL!N13/(('Balance sheet_'!N22+'Balance sheet_'!L22+'Balance sheet_'!N23+'Balance sheet_'!L23)/2)</f>
        <v>0.64852550595003056</v>
      </c>
      <c r="O23" s="160" t="s">
        <v>406</v>
      </c>
      <c r="P23" s="88">
        <f>-PL!P13/(('Balance sheet_'!P22+'Balance sheet_'!N22+'Balance sheet_'!P23+'Balance sheet_'!N23)/2)</f>
        <v>0.48794191235215079</v>
      </c>
      <c r="Q23" s="160" t="s">
        <v>406</v>
      </c>
      <c r="R23" s="88">
        <f>-PL!R13/(('Balance sheet_'!R22+'Balance sheet_'!P22+'Balance sheet_'!R23+'Balance sheet_'!P23)/2)</f>
        <v>0.46713772087657673</v>
      </c>
      <c r="S23" s="160" t="s">
        <v>406</v>
      </c>
      <c r="T23" s="88">
        <f>-PL!T13/(('Balance sheet_'!T22+'Balance sheet_'!R22+'Balance sheet_'!T23+'Balance sheet_'!R23)/2)</f>
        <v>0.48046654943111089</v>
      </c>
      <c r="U23" s="160" t="s">
        <v>406</v>
      </c>
      <c r="V23" s="88">
        <f>-PL!V13/(('Balance sheet_'!V22+'Balance sheet_'!T22+'Balance sheet_'!V23+'Balance sheet_'!T23)/2)</f>
        <v>0.52481533021725035</v>
      </c>
    </row>
    <row r="24" spans="2:22" s="1" customFormat="1" ht="12" x14ac:dyDescent="0.2">
      <c r="C24" s="44"/>
      <c r="D24" s="11"/>
      <c r="E24" s="44"/>
      <c r="G24" s="44"/>
      <c r="I24" s="44"/>
      <c r="K24" s="44"/>
      <c r="M24" s="44"/>
      <c r="O24" s="44"/>
      <c r="Q24" s="44"/>
      <c r="S24" s="44"/>
      <c r="U24" s="44"/>
    </row>
    <row r="25" spans="2:22" s="1" customFormat="1" ht="12" x14ac:dyDescent="0.2">
      <c r="B25" s="86" t="s">
        <v>199</v>
      </c>
      <c r="C25" s="35"/>
      <c r="D25" s="14"/>
      <c r="E25" s="35"/>
      <c r="F25" s="14"/>
      <c r="G25" s="35"/>
      <c r="H25" s="14"/>
      <c r="I25" s="35"/>
      <c r="J25" s="14"/>
      <c r="K25" s="35"/>
      <c r="L25" s="14"/>
      <c r="M25" s="35"/>
      <c r="N25" s="14"/>
      <c r="O25" s="35"/>
      <c r="P25" s="14"/>
      <c r="Q25" s="35"/>
      <c r="R25" s="14"/>
      <c r="S25" s="35"/>
      <c r="T25" s="14"/>
      <c r="U25" s="35"/>
      <c r="V25" s="14"/>
    </row>
    <row r="26" spans="2:22" s="2" customFormat="1" ht="12" x14ac:dyDescent="0.2">
      <c r="B26" s="2" t="s">
        <v>138</v>
      </c>
      <c r="C26" s="169" t="s">
        <v>406</v>
      </c>
      <c r="D26" s="169" t="s">
        <v>406</v>
      </c>
      <c r="E26" s="170" t="s">
        <v>406</v>
      </c>
      <c r="F26" s="171">
        <f>F27/F28</f>
        <v>0.46603402652040488</v>
      </c>
      <c r="G26" s="170" t="s">
        <v>406</v>
      </c>
      <c r="H26" s="171">
        <f t="shared" ref="H26:L26" si="0">H27/H28</f>
        <v>0.13365196316300904</v>
      </c>
      <c r="I26" s="172">
        <f t="shared" si="0"/>
        <v>0.35539830666363054</v>
      </c>
      <c r="J26" s="173">
        <f t="shared" si="0"/>
        <v>0.31857024134323403</v>
      </c>
      <c r="K26" s="172">
        <f t="shared" si="0"/>
        <v>0.28929633222642004</v>
      </c>
      <c r="L26" s="173">
        <f t="shared" si="0"/>
        <v>0.23673671992690096</v>
      </c>
      <c r="M26" s="172">
        <f>M27/M28</f>
        <v>0.20255959714906058</v>
      </c>
      <c r="N26" s="173">
        <f t="shared" ref="N26:Q26" si="1">N27/N28</f>
        <v>0.34945228377774418</v>
      </c>
      <c r="O26" s="172">
        <f t="shared" si="1"/>
        <v>0.59033128874291374</v>
      </c>
      <c r="P26" s="173">
        <f t="shared" si="1"/>
        <v>0.47373057044851885</v>
      </c>
      <c r="Q26" s="172">
        <f t="shared" si="1"/>
        <v>0.32751162936431932</v>
      </c>
      <c r="R26" s="173">
        <f t="shared" ref="R26:S26" si="2">R27/R28</f>
        <v>0.32602875159184846</v>
      </c>
      <c r="S26" s="172">
        <f t="shared" si="2"/>
        <v>0.33770943713836082</v>
      </c>
      <c r="T26" s="217">
        <f t="shared" ref="T26:U26" si="3">T27/T28</f>
        <v>0.28026722650074631</v>
      </c>
      <c r="U26" s="221">
        <f t="shared" si="3"/>
        <v>0.15600510177879431</v>
      </c>
      <c r="V26" s="217">
        <f t="shared" ref="V26" si="4">V27/V28</f>
        <v>9.9635021915391114E-2</v>
      </c>
    </row>
    <row r="27" spans="2:22" s="1" customFormat="1" ht="12" x14ac:dyDescent="0.2">
      <c r="B27" s="91" t="s">
        <v>201</v>
      </c>
      <c r="C27" s="162" t="s">
        <v>406</v>
      </c>
      <c r="D27" s="89">
        <f>(PL!D61-PL!D52)</f>
        <v>931496</v>
      </c>
      <c r="E27" s="158" t="s">
        <v>406</v>
      </c>
      <c r="F27" s="89">
        <f>(PL!F61-PL!F52)</f>
        <v>1824206</v>
      </c>
      <c r="G27" s="158" t="s">
        <v>406</v>
      </c>
      <c r="H27" s="89">
        <f>(PL!H61-PL!H52)</f>
        <v>808837</v>
      </c>
      <c r="I27" s="154">
        <f>(PL!I61-PL!I52)+((PL!H61-PL!H52)-(PL!G61-PL!G52))</f>
        <v>2861371</v>
      </c>
      <c r="J27" s="89">
        <f>(PL!J61-PL!J52)</f>
        <v>2996875</v>
      </c>
      <c r="K27" s="154">
        <f>(PL!K61-PL!K52)+((PL!J61-PL!J52)-(PL!I61-PL!I52))</f>
        <v>3064493</v>
      </c>
      <c r="L27" s="89">
        <f>(PL!L61-PL!L52)</f>
        <v>2875854</v>
      </c>
      <c r="M27" s="154">
        <f>(PL!M61-PL!M52)+((PL!L61-PL!L52)-(PL!K61-PL!K52))</f>
        <v>2848911</v>
      </c>
      <c r="N27" s="89">
        <f>(PL!N61-PL!N52)</f>
        <v>5975221</v>
      </c>
      <c r="O27" s="154">
        <f>(PL!O61-PL!O52)+((PL!N61-PL!N52)-(PL!M61-PL!M52))</f>
        <v>11728949</v>
      </c>
      <c r="P27" s="89">
        <f>(PL!P61-PL!P52)</f>
        <v>12003016</v>
      </c>
      <c r="Q27" s="154">
        <f>(PL!Q61-PL!Q52)+((PL!P61-PL!P52)-(PL!O61-PL!O52))</f>
        <v>9928280</v>
      </c>
      <c r="R27" s="89">
        <f>(PL!R61-PL!R52)</f>
        <v>11614856</v>
      </c>
      <c r="S27" s="219">
        <f>(PL!S61-PL!S52)+((PL!R61-PL!R52)-(PL!Q61-PL!Q52))</f>
        <v>12440830</v>
      </c>
      <c r="T27" s="216">
        <f>(PL!T61-PL!T52)</f>
        <v>11099691</v>
      </c>
      <c r="U27" s="219">
        <f>(PL!U61-PL!U52)+((PL!T61-PL!T52)-(PL!S61-PL!S52))</f>
        <v>6488528</v>
      </c>
      <c r="V27" s="216">
        <f>(PL!V61-PL!V52)</f>
        <v>4469031</v>
      </c>
    </row>
    <row r="28" spans="2:22" s="1" customFormat="1" ht="12" x14ac:dyDescent="0.2">
      <c r="B28" s="164" t="s">
        <v>137</v>
      </c>
      <c r="C28" s="163" t="s">
        <v>406</v>
      </c>
      <c r="D28" s="163" t="s">
        <v>406</v>
      </c>
      <c r="E28" s="165">
        <f t="shared" ref="E28:K28" si="5">E29+E33</f>
        <v>3877831.333333333</v>
      </c>
      <c r="F28" s="166">
        <f t="shared" si="5"/>
        <v>3914319.333333333</v>
      </c>
      <c r="G28" s="165">
        <f t="shared" si="5"/>
        <v>4697506.666666666</v>
      </c>
      <c r="H28" s="166">
        <f t="shared" si="5"/>
        <v>6051815.333333334</v>
      </c>
      <c r="I28" s="165">
        <f t="shared" si="5"/>
        <v>8051166.666666666</v>
      </c>
      <c r="J28" s="166">
        <f t="shared" si="5"/>
        <v>9407266</v>
      </c>
      <c r="K28" s="165">
        <f t="shared" si="5"/>
        <v>10592920.333333332</v>
      </c>
      <c r="L28" s="166">
        <f>L29+L33</f>
        <v>12147900</v>
      </c>
      <c r="M28" s="165">
        <f>M29+M33</f>
        <v>14064557</v>
      </c>
      <c r="N28" s="166">
        <f t="shared" ref="N28:Q28" si="6">N29+N33</f>
        <v>17098818</v>
      </c>
      <c r="O28" s="165">
        <f t="shared" si="6"/>
        <v>19868418.333333332</v>
      </c>
      <c r="P28" s="166">
        <f t="shared" si="6"/>
        <v>25337220.666666664</v>
      </c>
      <c r="Q28" s="165">
        <f t="shared" si="6"/>
        <v>30314282.333333336</v>
      </c>
      <c r="R28" s="166">
        <f t="shared" ref="R28:S28" si="7">R29+R33</f>
        <v>35625250.666666664</v>
      </c>
      <c r="S28" s="165">
        <f t="shared" si="7"/>
        <v>36838858</v>
      </c>
      <c r="T28" s="218">
        <f t="shared" ref="T28:U28" si="8">T29+T33</f>
        <v>39603956.333333336</v>
      </c>
      <c r="U28" s="224">
        <f t="shared" si="8"/>
        <v>41591768</v>
      </c>
      <c r="V28" s="218">
        <f t="shared" ref="V28" si="9">V29+V33</f>
        <v>44854017.333333336</v>
      </c>
    </row>
    <row r="29" spans="2:22" s="1" customFormat="1" ht="12" x14ac:dyDescent="0.2">
      <c r="B29" s="167" t="s">
        <v>136</v>
      </c>
      <c r="C29" s="162" t="s">
        <v>406</v>
      </c>
      <c r="D29" s="162" t="s">
        <v>406</v>
      </c>
      <c r="E29" s="154">
        <f t="shared" ref="E29:J29" si="10">AVERAGE(E11,D11,C11)</f>
        <v>3229425.6666666665</v>
      </c>
      <c r="F29" s="90">
        <f t="shared" si="10"/>
        <v>1718757.6666666667</v>
      </c>
      <c r="G29" s="154">
        <f t="shared" si="10"/>
        <v>1551989</v>
      </c>
      <c r="H29" s="90">
        <f t="shared" si="10"/>
        <v>2385240</v>
      </c>
      <c r="I29" s="154">
        <f t="shared" si="10"/>
        <v>3186379.6666666665</v>
      </c>
      <c r="J29" s="90">
        <f t="shared" si="10"/>
        <v>3644105.3333333335</v>
      </c>
      <c r="K29" s="154">
        <f>AVERAGE(K11,J11,I11)</f>
        <v>3425582</v>
      </c>
      <c r="L29" s="90">
        <f>AVERAGE(L11,K11,J11)</f>
        <v>4408456.333333333</v>
      </c>
      <c r="M29" s="154">
        <f>AVERAGE(M11,L11,K11)</f>
        <v>5264003.666666667</v>
      </c>
      <c r="N29" s="90">
        <f t="shared" ref="N29:Q29" si="11">AVERAGE(N11,M11,L11)</f>
        <v>6902505.333333333</v>
      </c>
      <c r="O29" s="154">
        <f t="shared" si="11"/>
        <v>6500642.666666667</v>
      </c>
      <c r="P29" s="90">
        <f t="shared" si="11"/>
        <v>8760268.666666666</v>
      </c>
      <c r="Q29" s="154">
        <f t="shared" si="11"/>
        <v>9921238.333333334</v>
      </c>
      <c r="R29" s="90">
        <f>AVERAGE(R11,Q11,P11)</f>
        <v>12824038.666666666</v>
      </c>
      <c r="S29" s="154">
        <f t="shared" ref="S29:U29" si="12">AVERAGE(S11,R11,Q11)</f>
        <v>10386666.666666666</v>
      </c>
      <c r="T29" s="90">
        <f>AVERAGE(T11,S11,R11)</f>
        <v>10781768.666666666</v>
      </c>
      <c r="U29" s="219">
        <f t="shared" si="12"/>
        <v>10886463.333333334</v>
      </c>
      <c r="V29" s="90">
        <f>AVERAGE(V11,U11,T11)</f>
        <v>13461472.666666666</v>
      </c>
    </row>
    <row r="30" spans="2:22" s="1" customFormat="1" ht="12" x14ac:dyDescent="0.2">
      <c r="B30" s="167" t="s">
        <v>5</v>
      </c>
      <c r="C30" s="155">
        <f>'Balance sheet_'!C46</f>
        <v>-1316727</v>
      </c>
      <c r="D30" s="89">
        <f>'Balance sheet_'!D46</f>
        <v>2366726</v>
      </c>
      <c r="E30" s="154">
        <f>'Balance sheet_'!E46</f>
        <v>2424382</v>
      </c>
      <c r="F30" s="90">
        <f>'Balance sheet_'!F46</f>
        <v>3513848</v>
      </c>
      <c r="G30" s="154">
        <f>'Balance sheet_'!G46</f>
        <v>3687430</v>
      </c>
      <c r="H30" s="90">
        <f>'Balance sheet_'!H46</f>
        <v>6002854</v>
      </c>
      <c r="I30" s="154">
        <f>'Balance sheet_'!I46</f>
        <v>6919376</v>
      </c>
      <c r="J30" s="89">
        <f>'Balance sheet_'!J46</f>
        <v>9064661</v>
      </c>
      <c r="K30" s="154">
        <f>'Balance sheet_'!K46</f>
        <v>8569686</v>
      </c>
      <c r="L30" s="89">
        <f>'Balance sheet_'!L46</f>
        <v>11786017</v>
      </c>
      <c r="M30" s="154">
        <f>'Balance sheet_'!M46</f>
        <v>12997672</v>
      </c>
      <c r="N30" s="89">
        <f>'Balance sheet_'!N46</f>
        <v>18707238</v>
      </c>
      <c r="O30" s="154">
        <f>'Balance sheet_'!O46</f>
        <v>25924928</v>
      </c>
      <c r="P30" s="89">
        <f>'Balance sheet_'!P46</f>
        <v>27274467</v>
      </c>
      <c r="Q30" s="154">
        <f>'Balance sheet_'!Q46</f>
        <v>35040167</v>
      </c>
      <c r="R30" s="89">
        <f>'Balance sheet_'!R46</f>
        <v>39701507</v>
      </c>
      <c r="S30" s="219">
        <f>'Balance sheet_'!S46</f>
        <v>36495769</v>
      </c>
      <c r="T30" s="216">
        <f>'Balance sheet_'!T46</f>
        <v>42766106</v>
      </c>
      <c r="U30" s="219">
        <f>'Balance sheet_'!U46</f>
        <v>34516584</v>
      </c>
      <c r="V30" s="216">
        <f>'Balance sheet_'!V46</f>
        <v>39621742</v>
      </c>
    </row>
    <row r="31" spans="2:22" s="1" customFormat="1" ht="12" x14ac:dyDescent="0.2">
      <c r="B31" s="167" t="s">
        <v>408</v>
      </c>
      <c r="C31" s="157">
        <f>'Balance sheet_'!C25</f>
        <v>0</v>
      </c>
      <c r="D31" s="90">
        <f>'Balance sheet_'!D25</f>
        <v>1529164</v>
      </c>
      <c r="E31" s="154">
        <f>'Balance sheet_'!E25</f>
        <v>0</v>
      </c>
      <c r="F31" s="90">
        <f>'Balance sheet_'!F25</f>
        <v>189107</v>
      </c>
      <c r="G31" s="154">
        <f>'Balance sheet_'!G25</f>
        <v>0</v>
      </c>
      <c r="H31" s="90">
        <f>'Balance sheet_'!H25</f>
        <v>2015299</v>
      </c>
      <c r="I31" s="154">
        <f>'Balance sheet_'!I25</f>
        <v>0</v>
      </c>
      <c r="J31" s="90">
        <f>'Balance sheet_'!J25</f>
        <v>2682110</v>
      </c>
      <c r="K31" s="154">
        <f>'Balance sheet_'!K25</f>
        <v>369598</v>
      </c>
      <c r="L31" s="90">
        <f>'Balance sheet_'!L25</f>
        <v>3150325</v>
      </c>
      <c r="M31" s="154">
        <f>'Balance sheet_'!M25</f>
        <v>3431792</v>
      </c>
      <c r="N31" s="90">
        <f>'Balance sheet_'!N25</f>
        <v>6319872</v>
      </c>
      <c r="O31" s="154">
        <f>'Balance sheet_'!O25</f>
        <v>7774847</v>
      </c>
      <c r="P31" s="90">
        <f>'Balance sheet_'!P25</f>
        <v>8081058</v>
      </c>
      <c r="Q31" s="154">
        <f>'Balance sheet_'!Q25</f>
        <v>11204525</v>
      </c>
      <c r="R31" s="90">
        <f>'Balance sheet_'!R25</f>
        <v>14326922</v>
      </c>
      <c r="S31" s="154">
        <f>'Balance sheet_'!S25</f>
        <v>6349422</v>
      </c>
      <c r="T31" s="90">
        <f>'Balance sheet_'!T25</f>
        <v>11820475</v>
      </c>
      <c r="U31" s="219">
        <f>'Balance sheet_'!U25</f>
        <v>3492648</v>
      </c>
      <c r="V31" s="90">
        <f>'Balance sheet_'!V25</f>
        <v>7413675</v>
      </c>
    </row>
    <row r="32" spans="2:22" s="1" customFormat="1" ht="12" x14ac:dyDescent="0.2">
      <c r="B32" s="167" t="s">
        <v>409</v>
      </c>
      <c r="C32" s="155">
        <f t="shared" ref="C32:K32" si="13">C30-C31</f>
        <v>-1316727</v>
      </c>
      <c r="D32" s="89">
        <f t="shared" si="13"/>
        <v>837562</v>
      </c>
      <c r="E32" s="154">
        <f t="shared" si="13"/>
        <v>2424382</v>
      </c>
      <c r="F32" s="90">
        <f t="shared" si="13"/>
        <v>3324741</v>
      </c>
      <c r="G32" s="154">
        <f t="shared" si="13"/>
        <v>3687430</v>
      </c>
      <c r="H32" s="90">
        <f t="shared" si="13"/>
        <v>3987555</v>
      </c>
      <c r="I32" s="154">
        <f t="shared" si="13"/>
        <v>6919376</v>
      </c>
      <c r="J32" s="89">
        <f t="shared" si="13"/>
        <v>6382551</v>
      </c>
      <c r="K32" s="154">
        <f t="shared" si="13"/>
        <v>8200088</v>
      </c>
      <c r="L32" s="89">
        <f>L30-L31</f>
        <v>8635692</v>
      </c>
      <c r="M32" s="154">
        <f>M30-M31</f>
        <v>9565880</v>
      </c>
      <c r="N32" s="89">
        <f t="shared" ref="N32:Q32" si="14">N30-N31</f>
        <v>12387366</v>
      </c>
      <c r="O32" s="154">
        <f t="shared" si="14"/>
        <v>18150081</v>
      </c>
      <c r="P32" s="89">
        <f t="shared" si="14"/>
        <v>19193409</v>
      </c>
      <c r="Q32" s="154">
        <f t="shared" si="14"/>
        <v>23835642</v>
      </c>
      <c r="R32" s="89">
        <f t="shared" ref="R32:S32" si="15">R30-R31</f>
        <v>25374585</v>
      </c>
      <c r="S32" s="219">
        <f t="shared" si="15"/>
        <v>30146347</v>
      </c>
      <c r="T32" s="216">
        <f t="shared" ref="T32:U32" si="16">T30-T31</f>
        <v>30945631</v>
      </c>
      <c r="U32" s="219">
        <f t="shared" si="16"/>
        <v>31023936</v>
      </c>
      <c r="V32" s="216">
        <f t="shared" ref="V32" si="17">V30-V31</f>
        <v>32208067</v>
      </c>
    </row>
    <row r="33" spans="2:22" s="1" customFormat="1" ht="12" x14ac:dyDescent="0.2">
      <c r="B33" s="168" t="s">
        <v>135</v>
      </c>
      <c r="C33" s="163" t="s">
        <v>406</v>
      </c>
      <c r="D33" s="163" t="s">
        <v>406</v>
      </c>
      <c r="E33" s="165">
        <f>AVERAGE(C32:E32)</f>
        <v>648405.66666666663</v>
      </c>
      <c r="F33" s="166">
        <f t="shared" ref="F33" si="18">AVERAGE(D32:F32)</f>
        <v>2195561.6666666665</v>
      </c>
      <c r="G33" s="165">
        <f t="shared" ref="G33" si="19">AVERAGE(E32:G32)</f>
        <v>3145517.6666666665</v>
      </c>
      <c r="H33" s="166">
        <f t="shared" ref="H33" si="20">AVERAGE(F32:H32)</f>
        <v>3666575.3333333335</v>
      </c>
      <c r="I33" s="165">
        <f t="shared" ref="I33" si="21">AVERAGE(G32:I32)</f>
        <v>4864787</v>
      </c>
      <c r="J33" s="166">
        <f t="shared" ref="J33" si="22">AVERAGE(H32:J32)</f>
        <v>5763160.666666667</v>
      </c>
      <c r="K33" s="165">
        <f t="shared" ref="K33" si="23">AVERAGE(I32:K32)</f>
        <v>7167338.333333333</v>
      </c>
      <c r="L33" s="166">
        <f>AVERAGE(L32,K32,J32)</f>
        <v>7739443.666666667</v>
      </c>
      <c r="M33" s="165">
        <f>AVERAGE(K32,L32:M32)</f>
        <v>8800553.333333334</v>
      </c>
      <c r="N33" s="166">
        <f t="shared" ref="N33:V33" si="24">AVERAGE(L32,M32:N32)</f>
        <v>10196312.666666666</v>
      </c>
      <c r="O33" s="165">
        <f t="shared" si="24"/>
        <v>13367775.666666666</v>
      </c>
      <c r="P33" s="166">
        <f t="shared" si="24"/>
        <v>16576952</v>
      </c>
      <c r="Q33" s="165">
        <f t="shared" si="24"/>
        <v>20393044</v>
      </c>
      <c r="R33" s="166">
        <f t="shared" si="24"/>
        <v>22801212</v>
      </c>
      <c r="S33" s="165">
        <f t="shared" ref="S33:U33" si="25">AVERAGE(Q32,R32:S32)</f>
        <v>26452191.333333332</v>
      </c>
      <c r="T33" s="166">
        <f t="shared" si="24"/>
        <v>28822187.666666668</v>
      </c>
      <c r="U33" s="224">
        <f t="shared" si="25"/>
        <v>30705304.666666668</v>
      </c>
      <c r="V33" s="166">
        <f t="shared" si="24"/>
        <v>31392544.666666668</v>
      </c>
    </row>
    <row r="34" spans="2:22" s="1" customFormat="1" ht="12" x14ac:dyDescent="0.2">
      <c r="C34" s="44"/>
      <c r="D34" s="69"/>
      <c r="E34" s="44"/>
      <c r="G34" s="44"/>
      <c r="I34" s="44"/>
      <c r="K34" s="44"/>
      <c r="M34" s="44"/>
      <c r="O34" s="44"/>
      <c r="Q34" s="44"/>
      <c r="S34" s="44"/>
      <c r="U34" s="44"/>
    </row>
    <row r="35" spans="2:22" s="2" customFormat="1" ht="12" x14ac:dyDescent="0.2">
      <c r="B35" s="2" t="s">
        <v>139</v>
      </c>
      <c r="C35" s="169" t="s">
        <v>406</v>
      </c>
      <c r="D35" s="169" t="s">
        <v>406</v>
      </c>
      <c r="E35" s="172">
        <f t="shared" ref="E35:K35" si="26">E37/E36</f>
        <v>1.9675674602180935</v>
      </c>
      <c r="F35" s="173">
        <f t="shared" si="26"/>
        <v>0.13591354367199537</v>
      </c>
      <c r="G35" s="172">
        <f t="shared" si="26"/>
        <v>0.14722242422857237</v>
      </c>
      <c r="H35" s="173">
        <f t="shared" si="26"/>
        <v>0.52050524790270203</v>
      </c>
      <c r="I35" s="172">
        <f t="shared" si="26"/>
        <v>0.56801240964595301</v>
      </c>
      <c r="J35" s="173">
        <f t="shared" si="26"/>
        <v>0.44453474572644214</v>
      </c>
      <c r="K35" s="172">
        <f t="shared" si="26"/>
        <v>0.22584338839368678</v>
      </c>
      <c r="L35" s="173">
        <f>L37/L36</f>
        <v>0.32347492369570957</v>
      </c>
      <c r="M35" s="172">
        <f>M37/M36</f>
        <v>0.49788718532982046</v>
      </c>
      <c r="N35" s="173">
        <f t="shared" ref="N35:Q35" si="27">N37/N36</f>
        <v>0.58616874273569752</v>
      </c>
      <c r="O35" s="172">
        <f t="shared" si="27"/>
        <v>0.77136713450417815</v>
      </c>
      <c r="P35" s="173">
        <f t="shared" si="27"/>
        <v>0.50963971571301359</v>
      </c>
      <c r="Q35" s="172">
        <f t="shared" si="27"/>
        <v>0.42744058498386472</v>
      </c>
      <c r="R35" s="173">
        <f t="shared" ref="R35:S35" si="28">R37/R36</f>
        <v>0.45496312196321947</v>
      </c>
      <c r="S35" s="172">
        <f t="shared" si="28"/>
        <v>0.14608946917271373</v>
      </c>
      <c r="T35" s="173">
        <f t="shared" ref="T35:U35" si="29">T37/T36</f>
        <v>0.19573530618018242</v>
      </c>
      <c r="U35" s="221">
        <f t="shared" si="29"/>
        <v>4.5187604448044073E-2</v>
      </c>
      <c r="V35" s="217">
        <f t="shared" ref="V35" si="30">V37/V36</f>
        <v>-5.7431141703849171E-2</v>
      </c>
    </row>
    <row r="36" spans="2:22" s="1" customFormat="1" ht="12" x14ac:dyDescent="0.2">
      <c r="B36" s="91" t="s">
        <v>200</v>
      </c>
      <c r="C36" s="162" t="s">
        <v>406</v>
      </c>
      <c r="D36" s="162" t="s">
        <v>406</v>
      </c>
      <c r="E36" s="154">
        <f t="shared" ref="E36:K36" si="31">AVERAGE(C30:E30)</f>
        <v>1158127</v>
      </c>
      <c r="F36" s="90">
        <f t="shared" si="31"/>
        <v>2768318.6666666665</v>
      </c>
      <c r="G36" s="154">
        <f t="shared" si="31"/>
        <v>3208553.3333333335</v>
      </c>
      <c r="H36" s="90">
        <f t="shared" si="31"/>
        <v>4401377.333333333</v>
      </c>
      <c r="I36" s="154">
        <f t="shared" si="31"/>
        <v>5536553.333333333</v>
      </c>
      <c r="J36" s="90">
        <f t="shared" si="31"/>
        <v>7328963.666666667</v>
      </c>
      <c r="K36" s="154">
        <f t="shared" si="31"/>
        <v>8184574.333333333</v>
      </c>
      <c r="L36" s="90">
        <f>AVERAGE(L30,K30,J30)</f>
        <v>9806788</v>
      </c>
      <c r="M36" s="154">
        <f>AVERAGE(K30,L30:M30)</f>
        <v>11117791.666666666</v>
      </c>
      <c r="N36" s="90">
        <f t="shared" ref="N36:V36" si="32">AVERAGE(L30,M30:N30)</f>
        <v>14496975.666666666</v>
      </c>
      <c r="O36" s="154">
        <f t="shared" si="32"/>
        <v>19209946</v>
      </c>
      <c r="P36" s="90">
        <f t="shared" si="32"/>
        <v>23968877.666666668</v>
      </c>
      <c r="Q36" s="154">
        <f t="shared" si="32"/>
        <v>29413187.333333332</v>
      </c>
      <c r="R36" s="90">
        <f t="shared" si="32"/>
        <v>34005380.333333336</v>
      </c>
      <c r="S36" s="154">
        <f t="shared" ref="S36:U36" si="33">AVERAGE(Q30,R30:S30)</f>
        <v>37079147.666666664</v>
      </c>
      <c r="T36" s="90">
        <f t="shared" si="32"/>
        <v>39654460.666666664</v>
      </c>
      <c r="U36" s="219">
        <f t="shared" si="33"/>
        <v>37926153</v>
      </c>
      <c r="V36" s="228">
        <f t="shared" si="32"/>
        <v>38968144</v>
      </c>
    </row>
    <row r="37" spans="2:22" s="1" customFormat="1" ht="12" x14ac:dyDescent="0.2">
      <c r="B37" s="164" t="s">
        <v>407</v>
      </c>
      <c r="C37" s="163" t="s">
        <v>406</v>
      </c>
      <c r="D37" s="166">
        <f>(PL!D48)</f>
        <v>2133074</v>
      </c>
      <c r="E37" s="165">
        <f>(PL!E48)+((PL!D48)-(PL!C48))</f>
        <v>2278693</v>
      </c>
      <c r="F37" s="166">
        <f>(PL!F48)</f>
        <v>376252</v>
      </c>
      <c r="G37" s="165">
        <f>(PL!G48)+((PL!F48)-(PL!E48))</f>
        <v>472371</v>
      </c>
      <c r="H37" s="166">
        <f>(PL!H48)</f>
        <v>2290940</v>
      </c>
      <c r="I37" s="165">
        <f>(PL!I48)+((PL!H48)-(PL!G48))</f>
        <v>3144831</v>
      </c>
      <c r="J37" s="166">
        <f>(PL!J48)</f>
        <v>3257979</v>
      </c>
      <c r="K37" s="165">
        <f>(PL!K48)+((PL!J48)-(PL!I48))</f>
        <v>1848432</v>
      </c>
      <c r="L37" s="166">
        <f>(PL!L48)</f>
        <v>3172250</v>
      </c>
      <c r="M37" s="165">
        <f>(PL!M48)+((PL!L48)-(PL!K48))</f>
        <v>5535406</v>
      </c>
      <c r="N37" s="166">
        <f>(PL!N48)</f>
        <v>8497674</v>
      </c>
      <c r="O37" s="165">
        <f>(PL!O48)+((PL!N48)-(PL!M48))</f>
        <v>14817921</v>
      </c>
      <c r="P37" s="166">
        <f>(PL!P48)</f>
        <v>12215492</v>
      </c>
      <c r="Q37" s="165">
        <f>(PL!Q48)+((PL!P48)-(PL!O48))</f>
        <v>12572390</v>
      </c>
      <c r="R37" s="166">
        <f>(PL!R48)</f>
        <v>15471194</v>
      </c>
      <c r="S37" s="165">
        <f>(PL!S48)+((PL!R48)-(PL!Q48))</f>
        <v>5416873</v>
      </c>
      <c r="T37" s="166">
        <f>(PL!T48)</f>
        <v>7761778</v>
      </c>
      <c r="U37" s="224">
        <f>(PL!U48)+((PL!T48)-(PL!S48))</f>
        <v>1713792</v>
      </c>
      <c r="V37" s="218">
        <f>(PL!V48)</f>
        <v>-2237985</v>
      </c>
    </row>
    <row r="38" spans="2:22" s="1" customFormat="1" ht="12" x14ac:dyDescent="0.2">
      <c r="C38" s="44"/>
      <c r="E38" s="44"/>
      <c r="G38" s="44"/>
      <c r="I38" s="44"/>
      <c r="K38" s="44"/>
      <c r="M38" s="44"/>
      <c r="O38" s="44"/>
      <c r="Q38" s="44"/>
      <c r="S38" s="44"/>
      <c r="U38" s="44"/>
    </row>
    <row r="39" spans="2:22" s="2" customFormat="1" ht="12" x14ac:dyDescent="0.2">
      <c r="B39" s="2" t="s">
        <v>413</v>
      </c>
      <c r="C39" s="170" t="s">
        <v>406</v>
      </c>
      <c r="D39" s="169">
        <f>D27/D40</f>
        <v>0.17843745965265559</v>
      </c>
      <c r="E39" s="170" t="s">
        <v>406</v>
      </c>
      <c r="F39" s="171">
        <f>F27/F41</f>
        <v>0.43090194394986164</v>
      </c>
      <c r="G39" s="170" t="s">
        <v>406</v>
      </c>
      <c r="H39" s="171">
        <f t="shared" ref="H39:S39" si="34">H27/H41</f>
        <v>0.12267632676639206</v>
      </c>
      <c r="I39" s="172">
        <f t="shared" si="34"/>
        <v>0.33618386132707934</v>
      </c>
      <c r="J39" s="171">
        <f t="shared" si="34"/>
        <v>0.27911838251741383</v>
      </c>
      <c r="K39" s="172">
        <f t="shared" si="34"/>
        <v>0.27079406243449938</v>
      </c>
      <c r="L39" s="171">
        <f t="shared" si="34"/>
        <v>0.20670574245629489</v>
      </c>
      <c r="M39" s="172">
        <f t="shared" si="34"/>
        <v>0.17664726655185647</v>
      </c>
      <c r="N39" s="171">
        <f t="shared" si="34"/>
        <v>0.28600416776822729</v>
      </c>
      <c r="O39" s="172">
        <f t="shared" si="34"/>
        <v>0.47644277640378419</v>
      </c>
      <c r="P39" s="171">
        <f t="shared" si="34"/>
        <v>0.40466374200510913</v>
      </c>
      <c r="Q39" s="172">
        <f t="shared" si="34"/>
        <v>0.28325927817254759</v>
      </c>
      <c r="R39" s="171">
        <f t="shared" si="34"/>
        <v>0.2793712523890266</v>
      </c>
      <c r="S39" s="172">
        <f t="shared" si="34"/>
        <v>0.28927071401890075</v>
      </c>
      <c r="T39" s="171">
        <f t="shared" ref="T39:U39" si="35">T27/T41</f>
        <v>0.24355491503624543</v>
      </c>
      <c r="U39" s="221">
        <f t="shared" si="35"/>
        <v>0.14654251827505035</v>
      </c>
      <c r="V39" s="171">
        <f>V27/V41</f>
        <v>9.2255381327029304E-2</v>
      </c>
    </row>
    <row r="40" spans="2:22" s="1" customFormat="1" ht="12" x14ac:dyDescent="0.2">
      <c r="B40" s="1" t="s">
        <v>410</v>
      </c>
      <c r="C40" s="39">
        <f>SUM('Balance sheet_'!C6,'Balance sheet_'!C10,'Balance sheet_'!C17,'Balance sheet_'!C22,'Balance sheet_'!C23)</f>
        <v>3377108</v>
      </c>
      <c r="D40" s="46">
        <f>SUM('Balance sheet_'!D6,'Balance sheet_'!D10,'Balance sheet_'!D17,'Balance sheet_'!D22,'Balance sheet_'!D23)</f>
        <v>5220294</v>
      </c>
      <c r="E40" s="39">
        <f>SUM('Balance sheet_'!E6,'Balance sheet_'!E10,'Balance sheet_'!E17,'Balance sheet_'!E22,'Balance sheet_'!E23)</f>
        <v>3381463</v>
      </c>
      <c r="F40" s="46">
        <f>SUM('Balance sheet_'!F6,'Balance sheet_'!F10,'Balance sheet_'!F17,'Balance sheet_'!F22,'Balance sheet_'!F23)</f>
        <v>4098622</v>
      </c>
      <c r="G40" s="39">
        <f>SUM('Balance sheet_'!G6,'Balance sheet_'!G10,'Balance sheet_'!G17,'Balance sheet_'!G22,'Balance sheet_'!G23)</f>
        <v>6068380</v>
      </c>
      <c r="H40" s="46">
        <f>SUM('Balance sheet_'!H6,'Balance sheet_'!H10,'Balance sheet_'!H17,'Balance sheet_'!H22,'Balance sheet_'!H23)</f>
        <v>9612780</v>
      </c>
      <c r="I40" s="39">
        <f>SUM('Balance sheet_'!I6,'Balance sheet_'!I10,'Balance sheet_'!I17,'Balance sheet_'!I22,'Balance sheet_'!I23)</f>
        <v>9852823</v>
      </c>
      <c r="J40" s="46">
        <f>SUM('Balance sheet_'!J6,'Balance sheet_'!J10,'Balance sheet_'!J17,'Balance sheet_'!J22,'Balance sheet_'!J23)</f>
        <v>12745192</v>
      </c>
      <c r="K40" s="39">
        <f>SUM('Balance sheet_'!K6,'Balance sheet_'!K10,'Balance sheet_'!K17,'Balance sheet_'!K22,'Balance sheet_'!K23)</f>
        <v>11352061</v>
      </c>
      <c r="L40" s="46">
        <f>SUM('Balance sheet_'!L6,'Balance sheet_'!L10,'Balance sheet_'!L17,'Balance sheet_'!L22,'Balance sheet_'!L23)</f>
        <v>17641123</v>
      </c>
      <c r="M40" s="39">
        <f>SUM('Balance sheet_'!M6,'Balance sheet_'!M10,'Balance sheet_'!M17,'Balance sheet_'!M22,'Balance sheet_'!M23)</f>
        <v>19389863</v>
      </c>
      <c r="N40" s="46">
        <f>SUM('Balance sheet_'!N6,'Balance sheet_'!N10,'Balance sheet_'!N17,'Balance sheet_'!N22,'Balance sheet_'!N23)</f>
        <v>25645244</v>
      </c>
      <c r="O40" s="39">
        <f>SUM('Balance sheet_'!O6,'Balance sheet_'!O10,'Balance sheet_'!O17,'Balance sheet_'!O22,'Balance sheet_'!O23)</f>
        <v>28818142</v>
      </c>
      <c r="P40" s="46">
        <f>SUM('Balance sheet_'!P6,'Balance sheet_'!P10,'Balance sheet_'!P17,'Balance sheet_'!P22,'Balance sheet_'!P23)</f>
        <v>34521725</v>
      </c>
      <c r="Q40" s="39">
        <f>SUM('Balance sheet_'!Q6,'Balance sheet_'!Q10,'Balance sheet_'!Q17,'Balance sheet_'!Q22,'Balance sheet_'!Q23)</f>
        <v>41810581</v>
      </c>
      <c r="R40" s="46">
        <f>SUM('Balance sheet_'!R6,'Balance sheet_'!R10,'Balance sheet_'!R17,'Balance sheet_'!R22,'Balance sheet_'!R23)</f>
        <v>48392653</v>
      </c>
      <c r="S40" s="48">
        <f>SUM('Balance sheet_'!S6,'Balance sheet_'!S10,'Balance sheet_'!S17,'Balance sheet_'!S22,'Balance sheet_'!S23)</f>
        <v>38819471</v>
      </c>
      <c r="T40" s="226">
        <f>SUM('Balance sheet_'!T6,'Balance sheet_'!T10,'Balance sheet_'!T17,'Balance sheet_'!T22,'Balance sheet_'!T23)</f>
        <v>49508882</v>
      </c>
      <c r="U40" s="48">
        <f>SUM('Balance sheet_'!U6,'Balance sheet_'!U10,'Balance sheet_'!U17,'Balance sheet_'!U22,'Balance sheet_'!U23)</f>
        <v>44503976</v>
      </c>
      <c r="V40" s="226">
        <f>SUM('Balance sheet_'!V6,'Balance sheet_'!V10,'Balance sheet_'!V17,'Balance sheet_'!V22,'Balance sheet_'!V23)</f>
        <v>51313006</v>
      </c>
    </row>
    <row r="41" spans="2:22" s="1" customFormat="1" ht="12" x14ac:dyDescent="0.2">
      <c r="B41" s="87" t="s">
        <v>412</v>
      </c>
      <c r="C41" s="163" t="s">
        <v>406</v>
      </c>
      <c r="D41" s="163" t="s">
        <v>406</v>
      </c>
      <c r="E41" s="165">
        <f>AVERAGE(C40:E40)</f>
        <v>3992955</v>
      </c>
      <c r="F41" s="166">
        <f t="shared" ref="F41" si="36">AVERAGE(D40:F40)</f>
        <v>4233459.666666667</v>
      </c>
      <c r="G41" s="165">
        <f t="shared" ref="G41" si="37">AVERAGE(E40:G40)</f>
        <v>4516155</v>
      </c>
      <c r="H41" s="166">
        <f t="shared" ref="H41" si="38">AVERAGE(F40:H40)</f>
        <v>6593260.666666667</v>
      </c>
      <c r="I41" s="165">
        <f t="shared" ref="I41" si="39">AVERAGE(G40:I40)</f>
        <v>8511327.666666666</v>
      </c>
      <c r="J41" s="166">
        <f t="shared" ref="J41" si="40">AVERAGE(H40:J40)</f>
        <v>10736931.666666666</v>
      </c>
      <c r="K41" s="165">
        <f t="shared" ref="K41" si="41">AVERAGE(I40:K40)</f>
        <v>11316692</v>
      </c>
      <c r="L41" s="166">
        <f>AVERAGE(L40,K40,J40)</f>
        <v>13912792</v>
      </c>
      <c r="M41" s="165">
        <f>AVERAGE(K40,L40:M40)</f>
        <v>16127682.333333334</v>
      </c>
      <c r="N41" s="166">
        <f t="shared" ref="N41:P41" si="42">AVERAGE(L40,M40:N40)</f>
        <v>20892076.666666668</v>
      </c>
      <c r="O41" s="165">
        <f t="shared" si="42"/>
        <v>24617749.666666668</v>
      </c>
      <c r="P41" s="166">
        <f t="shared" si="42"/>
        <v>29661703.666666668</v>
      </c>
      <c r="Q41" s="165">
        <f t="shared" ref="Q41:V41" si="43">AVERAGE(O40,P40:Q40)</f>
        <v>35050149.333333336</v>
      </c>
      <c r="R41" s="166">
        <f t="shared" si="43"/>
        <v>41574986.333333336</v>
      </c>
      <c r="S41" s="165">
        <f t="shared" si="43"/>
        <v>43007568.333333336</v>
      </c>
      <c r="T41" s="166">
        <f t="shared" si="43"/>
        <v>45573668.666666664</v>
      </c>
      <c r="U41" s="224">
        <f t="shared" si="43"/>
        <v>44277443</v>
      </c>
      <c r="V41" s="166">
        <f t="shared" si="43"/>
        <v>48441954.666666664</v>
      </c>
    </row>
    <row r="42" spans="2:22" s="1" customFormat="1" ht="12" x14ac:dyDescent="0.2">
      <c r="C42" s="44"/>
      <c r="E42" s="44"/>
      <c r="G42" s="44"/>
    </row>
    <row r="43" spans="2:22" s="1" customFormat="1" x14ac:dyDescent="0.25">
      <c r="B43" t="s">
        <v>411</v>
      </c>
      <c r="C43" s="45"/>
      <c r="E43" s="45"/>
      <c r="G43" s="45"/>
      <c r="I43" s="45"/>
      <c r="K43" s="45"/>
      <c r="M43" s="45"/>
      <c r="O43" s="45"/>
      <c r="Q43" s="45"/>
      <c r="S43" s="45"/>
      <c r="U43" s="45"/>
    </row>
    <row r="44" spans="2:22" x14ac:dyDescent="0.25">
      <c r="G44" s="156"/>
    </row>
    <row r="45" spans="2:22" ht="23.25" x14ac:dyDescent="0.35">
      <c r="B45" s="229" t="s">
        <v>476</v>
      </c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3CF5D-A91A-4C14-8B59-EF80341A8EA1}">
  <dimension ref="B1:O22"/>
  <sheetViews>
    <sheetView zoomScale="75" zoomScaleNormal="75" workbookViewId="0">
      <selection activeCell="P5" sqref="P5"/>
    </sheetView>
  </sheetViews>
  <sheetFormatPr defaultRowHeight="15" x14ac:dyDescent="0.25"/>
  <cols>
    <col min="2" max="2" width="26.42578125" bestFit="1" customWidth="1"/>
  </cols>
  <sheetData>
    <row r="1" spans="2:15" ht="15.75" thickBot="1" x14ac:dyDescent="0.3"/>
    <row r="2" spans="2:15" ht="15.75" thickBot="1" x14ac:dyDescent="0.3">
      <c r="B2" s="207"/>
      <c r="C2" s="208">
        <v>2017</v>
      </c>
      <c r="D2" s="208"/>
      <c r="E2" s="208">
        <f>C2+1</f>
        <v>2018</v>
      </c>
      <c r="F2" s="208"/>
      <c r="G2" s="208">
        <f>E2+1</f>
        <v>2019</v>
      </c>
      <c r="H2" s="208"/>
      <c r="I2" s="208">
        <f>G2+1</f>
        <v>2020</v>
      </c>
      <c r="J2" s="208"/>
      <c r="K2" s="208">
        <f>I2+1</f>
        <v>2021</v>
      </c>
      <c r="L2" s="208"/>
      <c r="M2" s="208">
        <f>K2+1</f>
        <v>2022</v>
      </c>
      <c r="N2" s="208"/>
      <c r="O2" s="208">
        <f t="shared" ref="O2" si="0">M2+1</f>
        <v>2023</v>
      </c>
    </row>
    <row r="3" spans="2:15" ht="15.75" thickBot="1" x14ac:dyDescent="0.3">
      <c r="B3" s="209" t="s">
        <v>453</v>
      </c>
      <c r="C3" s="211">
        <f>'Op. metric&amp;Add info'!F5/1000</f>
        <v>10.036689484999998</v>
      </c>
      <c r="D3" s="211">
        <f>'Op. metric&amp;Add info'!G5/1000</f>
        <v>0.6834182000000002</v>
      </c>
      <c r="E3" s="211">
        <f>'Op. metric&amp;Add info'!H5/1000</f>
        <v>6.4998203189999995</v>
      </c>
      <c r="F3" s="211">
        <f>'Op. metric&amp;Add info'!I5/1000</f>
        <v>9.4239999999999995</v>
      </c>
      <c r="G3" s="211">
        <f>'Op. metric&amp;Add info'!J5/1000</f>
        <v>16.966999999999999</v>
      </c>
      <c r="H3" s="211">
        <f>'Op. metric&amp;Add info'!K5/1000</f>
        <v>9.6069999999999993</v>
      </c>
      <c r="I3" s="211">
        <f>'Op. metric&amp;Add info'!L5/1000</f>
        <v>15.509</v>
      </c>
      <c r="J3" s="211">
        <f>'Op. metric&amp;Add info'!M5/1000</f>
        <v>12.993</v>
      </c>
      <c r="K3" s="211">
        <f>'Op. metric&amp;Add info'!N5/1000</f>
        <v>27.864999999999998</v>
      </c>
      <c r="L3" s="211">
        <f>'Op. metric&amp;Add info'!O5/1000</f>
        <v>15.744999999999999</v>
      </c>
      <c r="M3" s="211">
        <f>'Op. metric&amp;Add info'!P5/1000</f>
        <v>25.57</v>
      </c>
      <c r="N3" s="211">
        <f>'Op. metric&amp;Add info'!Q5/1000</f>
        <v>13.68</v>
      </c>
      <c r="O3" s="211">
        <f>'Op. metric&amp;Add info'!R5/1000</f>
        <v>28.206141466000016</v>
      </c>
    </row>
    <row r="4" spans="2:15" ht="15.75" thickBot="1" x14ac:dyDescent="0.3">
      <c r="B4" s="209" t="s">
        <v>454</v>
      </c>
      <c r="C4" s="212">
        <f>PL!F6/1000000</f>
        <v>5.022087</v>
      </c>
      <c r="D4" s="212">
        <f>PL!G6/1000000</f>
        <v>0.30474699999999999</v>
      </c>
      <c r="E4" s="212">
        <f>PL!H6/1000000</f>
        <v>3.2115719999999999</v>
      </c>
      <c r="F4" s="212">
        <f>PL!I6/1000000</f>
        <v>4.8536869999999999</v>
      </c>
      <c r="G4" s="212">
        <f>PL!J6/1000000</f>
        <v>8.7983019999999996</v>
      </c>
      <c r="H4" s="212">
        <f>PL!K6/1000000</f>
        <v>5.2550090000000003</v>
      </c>
      <c r="I4" s="212">
        <f>PL!L6/1000000</f>
        <v>8.3359170000000002</v>
      </c>
      <c r="J4" s="212">
        <f>PL!M6/1000000</f>
        <v>6.7177829999999998</v>
      </c>
      <c r="K4" s="212">
        <f>PL!N6/1000000</f>
        <v>15.90408</v>
      </c>
      <c r="L4" s="212">
        <f>PL!O6/1000000</f>
        <v>14.311107</v>
      </c>
      <c r="M4" s="212">
        <f>PL!P6/1000000</f>
        <v>23.500965000000001</v>
      </c>
      <c r="N4" s="212">
        <f>PL!Q6/1000000</f>
        <v>12.913154</v>
      </c>
      <c r="O4" s="212">
        <f>PL!R6/1000000</f>
        <v>28.480217</v>
      </c>
    </row>
    <row r="5" spans="2:15" ht="15.75" thickBot="1" x14ac:dyDescent="0.3">
      <c r="B5" s="209" t="s">
        <v>455</v>
      </c>
      <c r="C5" s="212">
        <f>PL!F48/1000000</f>
        <v>0.37625199999999998</v>
      </c>
      <c r="D5" s="212">
        <f>PL!G48/1000000</f>
        <v>0.153775</v>
      </c>
      <c r="E5" s="212">
        <f>PL!H48/1000000</f>
        <v>2.29094</v>
      </c>
      <c r="F5" s="212">
        <f>PL!I48/1000000</f>
        <v>1.007666</v>
      </c>
      <c r="G5" s="212">
        <f>PL!J48/1000000</f>
        <v>3.2579790000000002</v>
      </c>
      <c r="H5" s="212">
        <f>PL!K48/1000000</f>
        <v>-0.40188099999999999</v>
      </c>
      <c r="I5" s="212">
        <f>PL!L48/1000000</f>
        <v>3.17225</v>
      </c>
      <c r="J5" s="212">
        <f>PL!M48/1000000</f>
        <v>1.9612750000000001</v>
      </c>
      <c r="K5" s="212">
        <f>PL!N48/1000000</f>
        <v>8.4976739999999999</v>
      </c>
      <c r="L5" s="212">
        <f>PL!O48/1000000</f>
        <v>8.2815220000000007</v>
      </c>
      <c r="M5" s="212">
        <f>PL!P48/1000000</f>
        <v>12.215491999999999</v>
      </c>
      <c r="N5" s="212">
        <f>PL!Q48/1000000</f>
        <v>8.63842</v>
      </c>
      <c r="O5" s="212">
        <f>PL!R48/1000000</f>
        <v>15.471194000000001</v>
      </c>
    </row>
    <row r="6" spans="2:15" ht="15.75" thickBot="1" x14ac:dyDescent="0.3">
      <c r="B6" s="209" t="s">
        <v>456</v>
      </c>
      <c r="C6" s="212">
        <f>PL!F61/1000000</f>
        <v>2.0613860000000002</v>
      </c>
      <c r="D6" s="212">
        <f>PL!G61/1000000</f>
        <v>-4.1714000000000001E-2</v>
      </c>
      <c r="E6" s="212">
        <f>PL!H61/1000000</f>
        <v>0.973603</v>
      </c>
      <c r="F6" s="212">
        <f>PL!I61/1000000</f>
        <v>2.181654</v>
      </c>
      <c r="G6" s="212">
        <f>PL!J61/1000000</f>
        <v>3.4319090000000001</v>
      </c>
      <c r="H6" s="212">
        <f>PL!K61/1000000</f>
        <v>2.296719</v>
      </c>
      <c r="I6" s="212">
        <f>PL!L61/1000000</f>
        <v>3.3746010000000002</v>
      </c>
      <c r="J6" s="212">
        <f>PL!M61/1000000</f>
        <v>2.4174959999999999</v>
      </c>
      <c r="K6" s="212">
        <f>PL!N61/1000000</f>
        <v>6.7550429999999997</v>
      </c>
      <c r="L6" s="212">
        <f>PL!O61/1000000</f>
        <v>8.2351340000000004</v>
      </c>
      <c r="M6" s="212">
        <f>PL!P61/1000000</f>
        <v>12.932353000000001</v>
      </c>
      <c r="N6" s="212">
        <f>PL!Q61/1000000</f>
        <v>6.2830180000000002</v>
      </c>
      <c r="O6" s="212">
        <f>PL!R61/1000000</f>
        <v>12.865382</v>
      </c>
    </row>
    <row r="7" spans="2:15" ht="15.75" thickBot="1" x14ac:dyDescent="0.3">
      <c r="B7" s="209" t="s">
        <v>457</v>
      </c>
      <c r="C7" s="210">
        <f>'Op. metric&amp;Add info'!F17</f>
        <v>0.41046401625459694</v>
      </c>
      <c r="D7" s="210">
        <f>'Op. metric&amp;Add info'!G17</f>
        <v>-0.13688075682451345</v>
      </c>
      <c r="E7" s="210">
        <f>'Op. metric&amp;Add info'!H17</f>
        <v>0.30315465448073403</v>
      </c>
      <c r="F7" s="210">
        <f>'Op. metric&amp;Add info'!I17</f>
        <v>0.44948386659461148</v>
      </c>
      <c r="G7" s="210">
        <f>'Op. metric&amp;Add info'!J17</f>
        <v>0.39006492389099623</v>
      </c>
      <c r="H7" s="210">
        <f>'Op. metric&amp;Add info'!K17</f>
        <v>0.43705329524649722</v>
      </c>
      <c r="I7" s="210">
        <f>'Op. metric&amp;Add info'!L17</f>
        <v>0.40482660755859251</v>
      </c>
      <c r="J7" s="210">
        <f>'Op. metric&amp;Add info'!M17</f>
        <v>0.35986515194075186</v>
      </c>
      <c r="K7" s="210">
        <f>'Op. metric&amp;Add info'!N17</f>
        <v>0.42473648271386966</v>
      </c>
      <c r="L7" s="210">
        <f>'Op. metric&amp;Add info'!O17</f>
        <v>0.57543654729155469</v>
      </c>
      <c r="M7" s="210">
        <f>'Op. metric&amp;Add info'!P17</f>
        <v>0.55029029658994855</v>
      </c>
      <c r="N7" s="210">
        <f>'Op. metric&amp;Add info'!Q17</f>
        <v>0.48655951907643941</v>
      </c>
      <c r="O7" s="210">
        <f>'Op. metric&amp;Add info'!R17</f>
        <v>0.45173047663225319</v>
      </c>
    </row>
    <row r="8" spans="2:15" ht="15.75" thickBot="1" x14ac:dyDescent="0.3">
      <c r="B8" s="209" t="s">
        <v>458</v>
      </c>
      <c r="C8" s="212">
        <f>(PL!F61-PL!F52)/1000000</f>
        <v>1.824206</v>
      </c>
      <c r="D8" s="212">
        <f>(PL!G61-PL!G52)/1000000</f>
        <v>-6.3441999999999998E-2</v>
      </c>
      <c r="E8" s="212">
        <f>(PL!H61-PL!H52)/1000000</f>
        <v>0.80883700000000003</v>
      </c>
      <c r="F8" s="212">
        <f>(PL!I61-PL!I52)/1000000</f>
        <v>1.9890920000000001</v>
      </c>
      <c r="G8" s="212">
        <f>(PL!J61-PL!J52)/1000000</f>
        <v>2.9968750000000002</v>
      </c>
      <c r="H8" s="212">
        <f>(PL!K61-PL!K52)/1000000</f>
        <v>2.0567099999999998</v>
      </c>
      <c r="I8" s="212">
        <f>(PL!L61-PL!L52)/1000000</f>
        <v>2.8758539999999999</v>
      </c>
      <c r="J8" s="212">
        <f>(PL!M61-PL!M52)/1000000</f>
        <v>2.0297670000000001</v>
      </c>
      <c r="K8" s="212">
        <f>(PL!N61-PL!N52)/1000000</f>
        <v>5.9752210000000003</v>
      </c>
      <c r="L8" s="212">
        <f>(PL!O61-PL!O52)/1000000</f>
        <v>7.7834950000000003</v>
      </c>
      <c r="M8" s="212">
        <f>(PL!P61-PL!P52)/1000000</f>
        <v>12.003016000000001</v>
      </c>
      <c r="N8" s="212">
        <f>(PL!Q61-PL!Q52)/1000000</f>
        <v>5.7087589999999997</v>
      </c>
      <c r="O8" s="212">
        <f>(PL!R61-PL!R52)/1000000</f>
        <v>11.614856</v>
      </c>
    </row>
    <row r="9" spans="2:15" ht="15.75" thickBot="1" x14ac:dyDescent="0.3">
      <c r="B9" s="209" t="s">
        <v>459</v>
      </c>
      <c r="C9" s="212">
        <f>C8*1000/C3/C11</f>
        <v>2.7579650027743425</v>
      </c>
      <c r="D9" s="212" t="e">
        <f t="shared" ref="D9:O9" si="1">D8*1000/D3/D11</f>
        <v>#DIV/0!</v>
      </c>
      <c r="E9" s="212">
        <f t="shared" si="1"/>
        <v>1.6826526201125351</v>
      </c>
      <c r="F9" s="212" t="e">
        <f t="shared" si="1"/>
        <v>#DIV/0!</v>
      </c>
      <c r="G9" s="212">
        <f t="shared" si="1"/>
        <v>2.4362002479294098</v>
      </c>
      <c r="H9" s="212" t="e">
        <f t="shared" si="1"/>
        <v>#DIV/0!</v>
      </c>
      <c r="I9" s="212">
        <f t="shared" si="1"/>
        <v>2.2490478691748761</v>
      </c>
      <c r="J9" s="212" t="e">
        <f t="shared" si="1"/>
        <v>#DIV/0!</v>
      </c>
      <c r="K9" s="212">
        <f t="shared" si="1"/>
        <v>2.4594596629782686</v>
      </c>
      <c r="L9" s="212" t="e">
        <f t="shared" si="1"/>
        <v>#DIV/0!</v>
      </c>
      <c r="M9" s="212">
        <f t="shared" si="1"/>
        <v>6.4724175999908189</v>
      </c>
      <c r="N9" s="212" t="e">
        <f t="shared" si="1"/>
        <v>#DIV/0!</v>
      </c>
      <c r="O9" s="212">
        <f t="shared" si="1"/>
        <v>4.4642451020331926</v>
      </c>
    </row>
    <row r="11" spans="2:15" x14ac:dyDescent="0.25">
      <c r="B11" s="213" t="s">
        <v>460</v>
      </c>
      <c r="C11">
        <v>65.901399999999995</v>
      </c>
      <c r="E11">
        <v>73.954599999999999</v>
      </c>
      <c r="G11">
        <v>72.502099999999999</v>
      </c>
      <c r="I11">
        <v>82.448800000000006</v>
      </c>
      <c r="K11">
        <v>87.187700000000007</v>
      </c>
      <c r="M11">
        <v>72.525899999999993</v>
      </c>
      <c r="O11">
        <v>92.240600000000001</v>
      </c>
    </row>
    <row r="14" spans="2:15" ht="15.75" thickBot="1" x14ac:dyDescent="0.3"/>
    <row r="15" spans="2:15" ht="15.75" thickBot="1" x14ac:dyDescent="0.3">
      <c r="B15" s="207"/>
      <c r="C15" s="208">
        <v>2023</v>
      </c>
      <c r="D15" s="208">
        <f>C15-1</f>
        <v>2022</v>
      </c>
      <c r="E15" s="208">
        <f t="shared" ref="E15:I15" si="2">D15-1</f>
        <v>2021</v>
      </c>
      <c r="F15" s="208">
        <f t="shared" si="2"/>
        <v>2020</v>
      </c>
      <c r="G15" s="208">
        <f t="shared" si="2"/>
        <v>2019</v>
      </c>
      <c r="H15" s="208">
        <f t="shared" si="2"/>
        <v>2018</v>
      </c>
      <c r="I15" s="208">
        <f t="shared" si="2"/>
        <v>2017</v>
      </c>
    </row>
    <row r="16" spans="2:15" ht="15.75" thickBot="1" x14ac:dyDescent="0.3">
      <c r="B16" s="209" t="s">
        <v>453</v>
      </c>
      <c r="C16" s="211">
        <f>O3</f>
        <v>28.206141466000016</v>
      </c>
      <c r="D16" s="211">
        <f>M3</f>
        <v>25.57</v>
      </c>
      <c r="E16" s="211">
        <f>K3</f>
        <v>27.864999999999998</v>
      </c>
      <c r="F16" s="211">
        <f>I3</f>
        <v>15.509</v>
      </c>
      <c r="G16" s="211">
        <f>G3</f>
        <v>16.966999999999999</v>
      </c>
      <c r="H16" s="211">
        <f>E3</f>
        <v>6.4998203189999995</v>
      </c>
      <c r="I16" s="211">
        <f>C3</f>
        <v>10.036689484999998</v>
      </c>
    </row>
    <row r="17" spans="2:9" ht="15.75" thickBot="1" x14ac:dyDescent="0.3">
      <c r="B17" s="209" t="s">
        <v>454</v>
      </c>
      <c r="C17" s="211">
        <f t="shared" ref="C17:C22" si="3">O4</f>
        <v>28.480217</v>
      </c>
      <c r="D17" s="211">
        <f t="shared" ref="D17:D22" si="4">M4</f>
        <v>23.500965000000001</v>
      </c>
      <c r="E17" s="211">
        <f t="shared" ref="E17:E22" si="5">K4</f>
        <v>15.90408</v>
      </c>
      <c r="F17" s="211">
        <f t="shared" ref="F17:F22" si="6">I4</f>
        <v>8.3359170000000002</v>
      </c>
      <c r="G17" s="211">
        <f t="shared" ref="G17:G22" si="7">G4</f>
        <v>8.7983019999999996</v>
      </c>
      <c r="H17" s="211">
        <f t="shared" ref="H17:H22" si="8">E4</f>
        <v>3.2115719999999999</v>
      </c>
      <c r="I17" s="211">
        <f t="shared" ref="I17:I22" si="9">C4</f>
        <v>5.022087</v>
      </c>
    </row>
    <row r="18" spans="2:9" ht="15.75" thickBot="1" x14ac:dyDescent="0.3">
      <c r="B18" s="209" t="s">
        <v>455</v>
      </c>
      <c r="C18" s="211">
        <f t="shared" si="3"/>
        <v>15.471194000000001</v>
      </c>
      <c r="D18" s="211">
        <f t="shared" si="4"/>
        <v>12.215491999999999</v>
      </c>
      <c r="E18" s="211">
        <f t="shared" si="5"/>
        <v>8.4976739999999999</v>
      </c>
      <c r="F18" s="211">
        <f t="shared" si="6"/>
        <v>3.17225</v>
      </c>
      <c r="G18" s="211">
        <f t="shared" si="7"/>
        <v>3.2579790000000002</v>
      </c>
      <c r="H18" s="211">
        <f t="shared" si="8"/>
        <v>2.29094</v>
      </c>
      <c r="I18" s="211">
        <f t="shared" si="9"/>
        <v>0.37625199999999998</v>
      </c>
    </row>
    <row r="19" spans="2:9" ht="15.75" thickBot="1" x14ac:dyDescent="0.3">
      <c r="B19" s="209" t="s">
        <v>456</v>
      </c>
      <c r="C19" s="211">
        <f t="shared" si="3"/>
        <v>12.865382</v>
      </c>
      <c r="D19" s="211">
        <f t="shared" si="4"/>
        <v>12.932353000000001</v>
      </c>
      <c r="E19" s="211">
        <f t="shared" si="5"/>
        <v>6.7550429999999997</v>
      </c>
      <c r="F19" s="211">
        <f t="shared" si="6"/>
        <v>3.3746010000000002</v>
      </c>
      <c r="G19" s="211">
        <f t="shared" si="7"/>
        <v>3.4319090000000001</v>
      </c>
      <c r="H19" s="211">
        <f t="shared" si="8"/>
        <v>0.973603</v>
      </c>
      <c r="I19" s="211">
        <f t="shared" si="9"/>
        <v>2.0613860000000002</v>
      </c>
    </row>
    <row r="20" spans="2:9" ht="15.75" thickBot="1" x14ac:dyDescent="0.3">
      <c r="B20" s="209" t="s">
        <v>457</v>
      </c>
      <c r="C20" s="214">
        <f t="shared" si="3"/>
        <v>0.45173047663225319</v>
      </c>
      <c r="D20" s="214">
        <f t="shared" si="4"/>
        <v>0.55029029658994855</v>
      </c>
      <c r="E20" s="214">
        <f t="shared" si="5"/>
        <v>0.42473648271386966</v>
      </c>
      <c r="F20" s="214">
        <f t="shared" si="6"/>
        <v>0.40482660755859251</v>
      </c>
      <c r="G20" s="214">
        <f t="shared" si="7"/>
        <v>0.39006492389099623</v>
      </c>
      <c r="H20" s="214">
        <f t="shared" si="8"/>
        <v>0.30315465448073403</v>
      </c>
      <c r="I20" s="214">
        <f t="shared" si="9"/>
        <v>0.41046401625459694</v>
      </c>
    </row>
    <row r="21" spans="2:9" ht="15.75" thickBot="1" x14ac:dyDescent="0.3">
      <c r="B21" s="209" t="s">
        <v>458</v>
      </c>
      <c r="C21" s="211">
        <f t="shared" si="3"/>
        <v>11.614856</v>
      </c>
      <c r="D21" s="211">
        <f t="shared" si="4"/>
        <v>12.003016000000001</v>
      </c>
      <c r="E21" s="211">
        <f t="shared" si="5"/>
        <v>5.9752210000000003</v>
      </c>
      <c r="F21" s="211">
        <f t="shared" si="6"/>
        <v>2.8758539999999999</v>
      </c>
      <c r="G21" s="211">
        <f t="shared" si="7"/>
        <v>2.9968750000000002</v>
      </c>
      <c r="H21" s="211">
        <f t="shared" si="8"/>
        <v>0.80883700000000003</v>
      </c>
      <c r="I21" s="211">
        <f t="shared" si="9"/>
        <v>1.824206</v>
      </c>
    </row>
    <row r="22" spans="2:9" ht="15.75" thickBot="1" x14ac:dyDescent="0.3">
      <c r="B22" s="209" t="s">
        <v>459</v>
      </c>
      <c r="C22" s="211">
        <f t="shared" si="3"/>
        <v>4.4642451020331926</v>
      </c>
      <c r="D22" s="211">
        <f t="shared" si="4"/>
        <v>6.4724175999908189</v>
      </c>
      <c r="E22" s="211">
        <f t="shared" si="5"/>
        <v>2.4594596629782686</v>
      </c>
      <c r="F22" s="211">
        <f t="shared" si="6"/>
        <v>2.2490478691748761</v>
      </c>
      <c r="G22" s="211">
        <f t="shared" si="7"/>
        <v>2.4362002479294098</v>
      </c>
      <c r="H22" s="211">
        <f t="shared" si="8"/>
        <v>1.6826526201125351</v>
      </c>
      <c r="I22" s="211">
        <f t="shared" si="9"/>
        <v>2.7579650027743425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1"/>
  <sheetViews>
    <sheetView showGridLines="0" workbookViewId="0">
      <selection activeCell="P5" sqref="P5"/>
    </sheetView>
  </sheetViews>
  <sheetFormatPr defaultRowHeight="15" x14ac:dyDescent="0.25"/>
  <cols>
    <col min="1" max="1" width="19.7109375" bestFit="1" customWidth="1"/>
    <col min="2" max="2" width="12.28515625" customWidth="1"/>
    <col min="3" max="3" width="19.42578125" customWidth="1"/>
    <col min="4" max="4" width="11.28515625" bestFit="1" customWidth="1"/>
    <col min="5" max="5" width="19.7109375" bestFit="1" customWidth="1"/>
    <col min="6" max="6" width="12.5703125" customWidth="1"/>
    <col min="7" max="7" width="8.5703125" bestFit="1" customWidth="1"/>
    <col min="8" max="8" width="22" customWidth="1"/>
    <col min="9" max="9" width="15" customWidth="1"/>
    <col min="11" max="11" width="25.5703125" customWidth="1"/>
    <col min="12" max="12" width="16.7109375" customWidth="1"/>
    <col min="13" max="13" width="10.28515625" customWidth="1"/>
    <col min="14" max="14" width="14.42578125" customWidth="1"/>
  </cols>
  <sheetData>
    <row r="1" spans="1:15" x14ac:dyDescent="0.25">
      <c r="A1" s="180" t="s">
        <v>431</v>
      </c>
    </row>
    <row r="3" spans="1:15" x14ac:dyDescent="0.25">
      <c r="A3" s="70" t="s">
        <v>148</v>
      </c>
      <c r="B3" s="71" t="s">
        <v>432</v>
      </c>
      <c r="C3" s="71" t="s">
        <v>433</v>
      </c>
      <c r="E3" s="74" t="s">
        <v>148</v>
      </c>
      <c r="F3" s="75" t="s">
        <v>434</v>
      </c>
      <c r="H3" s="74" t="s">
        <v>148</v>
      </c>
      <c r="I3" s="75" t="s">
        <v>435</v>
      </c>
      <c r="K3" s="70" t="s">
        <v>148</v>
      </c>
      <c r="L3" s="71" t="s">
        <v>422</v>
      </c>
    </row>
    <row r="4" spans="1:15" x14ac:dyDescent="0.25">
      <c r="A4" s="81" t="s">
        <v>149</v>
      </c>
      <c r="B4" s="190">
        <v>2.0918582642408992</v>
      </c>
      <c r="C4" s="196">
        <v>18021</v>
      </c>
      <c r="E4" s="72" t="s">
        <v>151</v>
      </c>
      <c r="F4" s="188">
        <v>3.480843507256389</v>
      </c>
      <c r="H4" s="72" t="s">
        <v>165</v>
      </c>
      <c r="I4" s="193">
        <v>7.5218569379974038</v>
      </c>
      <c r="K4" s="81" t="s">
        <v>149</v>
      </c>
      <c r="L4" s="82">
        <f>'Op. metric&amp;Add info'!N26</f>
        <v>0.34945228377774418</v>
      </c>
      <c r="M4" t="s">
        <v>421</v>
      </c>
    </row>
    <row r="5" spans="1:15" x14ac:dyDescent="0.25">
      <c r="A5" s="72" t="s">
        <v>150</v>
      </c>
      <c r="B5" s="191">
        <v>1.9322219080823588</v>
      </c>
      <c r="C5" s="197">
        <v>76000</v>
      </c>
      <c r="E5" s="72" t="s">
        <v>150</v>
      </c>
      <c r="F5" s="188">
        <v>3.7898803626259436</v>
      </c>
      <c r="H5" s="72" t="s">
        <v>159</v>
      </c>
      <c r="I5" s="193">
        <v>6.9997310008448057</v>
      </c>
      <c r="K5" s="72" t="s">
        <v>175</v>
      </c>
      <c r="L5" s="79">
        <f>L19</f>
        <v>0.15936068457209368</v>
      </c>
      <c r="M5" t="s">
        <v>420</v>
      </c>
    </row>
    <row r="6" spans="1:15" x14ac:dyDescent="0.25">
      <c r="A6" s="72" t="s">
        <v>151</v>
      </c>
      <c r="B6" s="191">
        <v>1.8778538629060681</v>
      </c>
      <c r="C6" s="197">
        <v>42300</v>
      </c>
      <c r="E6" s="81" t="s">
        <v>149</v>
      </c>
      <c r="F6" s="187">
        <v>3.9780935645760485</v>
      </c>
      <c r="H6" s="72" t="s">
        <v>154</v>
      </c>
      <c r="I6" s="193">
        <v>6.97656166358838</v>
      </c>
      <c r="K6" s="72" t="s">
        <v>170</v>
      </c>
      <c r="L6" s="78">
        <v>0.13100000000000001</v>
      </c>
      <c r="M6" t="s">
        <v>429</v>
      </c>
    </row>
    <row r="7" spans="1:15" x14ac:dyDescent="0.25">
      <c r="A7" s="72" t="s">
        <v>152</v>
      </c>
      <c r="B7" s="191">
        <v>1.8383761011106854</v>
      </c>
      <c r="C7" s="197">
        <v>5222</v>
      </c>
      <c r="E7" s="72" t="s">
        <v>161</v>
      </c>
      <c r="F7" s="188">
        <v>4.1140738982241754</v>
      </c>
      <c r="H7" s="72" t="s">
        <v>153</v>
      </c>
      <c r="I7" s="193">
        <v>6.8380380005486163</v>
      </c>
      <c r="K7" s="72" t="s">
        <v>176</v>
      </c>
      <c r="L7" s="78">
        <v>0.111</v>
      </c>
      <c r="M7" t="s">
        <v>429</v>
      </c>
    </row>
    <row r="8" spans="1:15" x14ac:dyDescent="0.25">
      <c r="A8" s="72" t="s">
        <v>153</v>
      </c>
      <c r="B8" s="191">
        <v>1.7963903582869034</v>
      </c>
      <c r="C8" s="197">
        <v>46523</v>
      </c>
      <c r="E8" s="72" t="s">
        <v>160</v>
      </c>
      <c r="F8" s="188">
        <v>4.2620517251070815</v>
      </c>
      <c r="H8" s="72" t="s">
        <v>168</v>
      </c>
      <c r="I8" s="193">
        <v>6.7754898866964357</v>
      </c>
      <c r="K8" s="72" t="s">
        <v>171</v>
      </c>
      <c r="L8" s="78">
        <f>M19</f>
        <v>7.4878785789379773E-2</v>
      </c>
      <c r="M8" t="s">
        <v>420</v>
      </c>
    </row>
    <row r="9" spans="1:15" x14ac:dyDescent="0.25">
      <c r="A9" s="72" t="s">
        <v>154</v>
      </c>
      <c r="B9" s="191">
        <v>1.2563265106556243</v>
      </c>
      <c r="C9" s="197">
        <v>10390</v>
      </c>
      <c r="E9" s="72" t="s">
        <v>162</v>
      </c>
      <c r="F9" s="188">
        <v>4.3918906039866421</v>
      </c>
      <c r="H9" s="81" t="s">
        <v>149</v>
      </c>
      <c r="I9" s="194">
        <v>6.0698973239744838</v>
      </c>
      <c r="K9" s="72" t="s">
        <v>177</v>
      </c>
      <c r="L9" s="78">
        <f>O19</f>
        <v>5.033916264586611E-2</v>
      </c>
      <c r="M9" t="s">
        <v>420</v>
      </c>
    </row>
    <row r="10" spans="1:15" x14ac:dyDescent="0.25">
      <c r="A10" s="72" t="s">
        <v>155</v>
      </c>
      <c r="B10" s="191">
        <v>1.1371020142949968</v>
      </c>
      <c r="C10" s="197">
        <v>6156</v>
      </c>
      <c r="E10" s="72" t="s">
        <v>158</v>
      </c>
      <c r="F10" s="188">
        <v>4.4668808375127416</v>
      </c>
      <c r="H10" s="72" t="s">
        <v>150</v>
      </c>
      <c r="I10" s="193">
        <v>5.7221022707083025</v>
      </c>
      <c r="K10" s="73" t="s">
        <v>178</v>
      </c>
      <c r="L10" s="80">
        <f>N19</f>
        <v>2.0225130405122825E-2</v>
      </c>
      <c r="M10" t="s">
        <v>420</v>
      </c>
    </row>
    <row r="11" spans="1:15" x14ac:dyDescent="0.25">
      <c r="A11" s="72" t="s">
        <v>156</v>
      </c>
      <c r="B11" s="191">
        <v>1.0285670667709863</v>
      </c>
      <c r="C11" s="197">
        <v>52403</v>
      </c>
      <c r="E11" s="72" t="s">
        <v>167</v>
      </c>
      <c r="F11" s="188">
        <v>4.5863694497358587</v>
      </c>
      <c r="H11" s="72" t="s">
        <v>163</v>
      </c>
      <c r="I11" s="193">
        <v>5.4880814793316555</v>
      </c>
    </row>
    <row r="12" spans="1:15" x14ac:dyDescent="0.25">
      <c r="A12" s="72" t="s">
        <v>157</v>
      </c>
      <c r="B12" s="191">
        <v>0.99554183304387411</v>
      </c>
      <c r="C12" s="197">
        <v>202101</v>
      </c>
      <c r="E12" s="72" t="s">
        <v>170</v>
      </c>
      <c r="F12" s="188">
        <v>4.6459684734797264</v>
      </c>
      <c r="H12" s="72" t="s">
        <v>158</v>
      </c>
      <c r="I12" s="193">
        <v>5.4496972427834409</v>
      </c>
    </row>
    <row r="13" spans="1:15" x14ac:dyDescent="0.25">
      <c r="A13" s="72" t="s">
        <v>158</v>
      </c>
      <c r="B13" s="191">
        <v>0.98273373334735004</v>
      </c>
      <c r="C13" s="197">
        <v>54364</v>
      </c>
      <c r="E13" s="72" t="s">
        <v>164</v>
      </c>
      <c r="F13" s="188">
        <v>4.738836744239312</v>
      </c>
      <c r="H13" s="72" t="s">
        <v>170</v>
      </c>
      <c r="I13" s="193">
        <v>5.4113109806539219</v>
      </c>
      <c r="K13" s="181" t="s">
        <v>427</v>
      </c>
      <c r="L13" s="182" t="s">
        <v>175</v>
      </c>
      <c r="M13" s="182" t="s">
        <v>171</v>
      </c>
      <c r="N13" s="182" t="s">
        <v>426</v>
      </c>
      <c r="O13" s="182" t="s">
        <v>177</v>
      </c>
    </row>
    <row r="14" spans="1:15" x14ac:dyDescent="0.25">
      <c r="A14" s="72" t="s">
        <v>159</v>
      </c>
      <c r="B14" s="191">
        <v>0.97347252329629752</v>
      </c>
      <c r="C14" s="197">
        <v>27400</v>
      </c>
      <c r="E14" s="72" t="s">
        <v>163</v>
      </c>
      <c r="F14" s="188">
        <v>4.8156883140580193</v>
      </c>
      <c r="H14" s="72" t="s">
        <v>151</v>
      </c>
      <c r="I14" s="193">
        <v>5.3586973701624574</v>
      </c>
      <c r="K14" t="s">
        <v>415</v>
      </c>
      <c r="L14" s="179">
        <f>2037+413.8</f>
        <v>2450.8000000000002</v>
      </c>
      <c r="M14" s="179">
        <f>(701.535+88.515)</f>
        <v>790.05</v>
      </c>
      <c r="N14" s="179">
        <f>176.989+(-17.038)</f>
        <v>159.95099999999999</v>
      </c>
      <c r="O14" s="179">
        <f>242.63+16.997</f>
        <v>259.62700000000001</v>
      </c>
    </row>
    <row r="15" spans="1:15" x14ac:dyDescent="0.25">
      <c r="A15" s="72" t="s">
        <v>160</v>
      </c>
      <c r="B15" s="191">
        <v>0.91947303380873624</v>
      </c>
      <c r="C15" s="197">
        <v>27842</v>
      </c>
      <c r="E15" s="72" t="s">
        <v>153</v>
      </c>
      <c r="F15" s="188">
        <v>5.0417256789606499</v>
      </c>
      <c r="H15" s="72" t="s">
        <v>164</v>
      </c>
      <c r="I15" s="193">
        <v>5.3313507138793987</v>
      </c>
      <c r="K15" t="s">
        <v>417</v>
      </c>
      <c r="L15" s="179">
        <f>(4968+4892.6)/2</f>
        <v>4930.3</v>
      </c>
      <c r="M15" s="179">
        <f>(1986.271+1752.751)/2</f>
        <v>1869.511</v>
      </c>
      <c r="N15" s="179">
        <f>(4053.175+26.178+3679.23)/2</f>
        <v>3879.2915000000003</v>
      </c>
      <c r="O15" s="179">
        <f>(1886.665+1294.554)/2</f>
        <v>1590.6095</v>
      </c>
    </row>
    <row r="16" spans="1:15" x14ac:dyDescent="0.25">
      <c r="A16" s="72" t="s">
        <v>161</v>
      </c>
      <c r="B16" s="191">
        <v>0.80076878595485645</v>
      </c>
      <c r="C16" s="197">
        <v>8541</v>
      </c>
      <c r="E16" s="72" t="s">
        <v>154</v>
      </c>
      <c r="F16" s="188">
        <v>5.7202351529327569</v>
      </c>
      <c r="H16" s="72" t="s">
        <v>162</v>
      </c>
      <c r="I16" s="193">
        <v>5.1902331252385396</v>
      </c>
      <c r="K16" t="s">
        <v>418</v>
      </c>
      <c r="L16" s="179">
        <f>(14456+10986.9)/2</f>
        <v>12721.45</v>
      </c>
      <c r="M16" s="179">
        <f>(9523.643+8729.487)/2</f>
        <v>9126.5649999999987</v>
      </c>
      <c r="N16" s="179">
        <f>(4866.003+4370.918)/2</f>
        <v>4618.4604999999992</v>
      </c>
      <c r="O16" s="179">
        <f>(4421.251+3130.692)/2</f>
        <v>3775.9715000000001</v>
      </c>
    </row>
    <row r="17" spans="1:15" x14ac:dyDescent="0.25">
      <c r="A17" s="72" t="s">
        <v>162</v>
      </c>
      <c r="B17" s="191">
        <v>0.79834252125189853</v>
      </c>
      <c r="C17" s="197">
        <v>19410</v>
      </c>
      <c r="E17" s="72" t="s">
        <v>159</v>
      </c>
      <c r="F17" s="188">
        <v>6.0262584775485077</v>
      </c>
      <c r="H17" s="72" t="s">
        <v>160</v>
      </c>
      <c r="I17" s="193">
        <v>5.1813703530265283</v>
      </c>
      <c r="K17" t="s">
        <v>419</v>
      </c>
      <c r="L17" s="179">
        <f>(2778.7+1766.9)/2</f>
        <v>2272.8000000000002</v>
      </c>
      <c r="M17" s="179">
        <f>(744.66+145.387)/2</f>
        <v>445.02350000000001</v>
      </c>
      <c r="N17" s="179">
        <f>(831222+347227)/2/1000</f>
        <v>589.22450000000003</v>
      </c>
      <c r="O17" s="179">
        <f>(308.836+109.216)/2</f>
        <v>209.02600000000001</v>
      </c>
    </row>
    <row r="18" spans="1:15" x14ac:dyDescent="0.25">
      <c r="A18" s="72" t="s">
        <v>163</v>
      </c>
      <c r="B18" s="191">
        <v>0.67252091696140859</v>
      </c>
      <c r="C18" s="197">
        <v>29827</v>
      </c>
      <c r="E18" s="72" t="s">
        <v>168</v>
      </c>
      <c r="F18" s="188">
        <v>6.9711212467747368</v>
      </c>
      <c r="H18" s="72" t="s">
        <v>161</v>
      </c>
      <c r="I18" s="193">
        <v>4.9148426841790318</v>
      </c>
      <c r="K18" t="s">
        <v>416</v>
      </c>
      <c r="L18" s="179">
        <f>L15+L16-L17</f>
        <v>15378.95</v>
      </c>
      <c r="M18" s="179">
        <f>M15+M16-M17</f>
        <v>10551.0525</v>
      </c>
      <c r="N18" s="179">
        <f>N15+N16-N17</f>
        <v>7908.5275000000001</v>
      </c>
      <c r="O18" s="179">
        <f>O15+O16-O17</f>
        <v>5157.5550000000003</v>
      </c>
    </row>
    <row r="19" spans="1:15" ht="15.75" thickBot="1" x14ac:dyDescent="0.3">
      <c r="A19" s="72" t="s">
        <v>164</v>
      </c>
      <c r="B19" s="191">
        <v>0.59254837778381131</v>
      </c>
      <c r="C19" s="197">
        <v>51112</v>
      </c>
      <c r="E19" s="73" t="s">
        <v>165</v>
      </c>
      <c r="F19" s="189">
        <v>7.0266457161007772</v>
      </c>
      <c r="H19" s="73" t="s">
        <v>167</v>
      </c>
      <c r="I19" s="195">
        <v>4.7607931527470484</v>
      </c>
      <c r="K19" s="184" t="s">
        <v>138</v>
      </c>
      <c r="L19" s="185">
        <f>L14/L18</f>
        <v>0.15936068457209368</v>
      </c>
      <c r="M19" s="185">
        <f>M14/M18</f>
        <v>7.4878785789379773E-2</v>
      </c>
      <c r="N19" s="185">
        <f>N14/N18</f>
        <v>2.0225130405122825E-2</v>
      </c>
      <c r="O19" s="185">
        <f>O14/O18</f>
        <v>5.033916264586611E-2</v>
      </c>
    </row>
    <row r="20" spans="1:15" ht="15.75" thickTop="1" x14ac:dyDescent="0.25">
      <c r="A20" s="72" t="s">
        <v>165</v>
      </c>
      <c r="B20" s="191">
        <v>0.49521122189662625</v>
      </c>
      <c r="C20" s="197">
        <v>7300</v>
      </c>
    </row>
    <row r="21" spans="1:15" x14ac:dyDescent="0.25">
      <c r="A21" s="72" t="s">
        <v>166</v>
      </c>
      <c r="B21" s="191">
        <v>0.25263753587453008</v>
      </c>
      <c r="C21" s="197">
        <v>49478</v>
      </c>
    </row>
    <row r="22" spans="1:15" x14ac:dyDescent="0.25">
      <c r="A22" s="72" t="s">
        <v>167</v>
      </c>
      <c r="B22" s="191">
        <v>0.17442370301118998</v>
      </c>
      <c r="C22" s="197">
        <v>22070</v>
      </c>
      <c r="K22" s="186" t="s">
        <v>430</v>
      </c>
    </row>
    <row r="23" spans="1:15" x14ac:dyDescent="0.25">
      <c r="A23" s="72" t="s">
        <v>168</v>
      </c>
      <c r="B23" s="191">
        <v>-0.19565874562061603</v>
      </c>
      <c r="C23" s="197">
        <v>24550</v>
      </c>
      <c r="K23" s="186" t="s">
        <v>423</v>
      </c>
    </row>
    <row r="24" spans="1:15" x14ac:dyDescent="0.25">
      <c r="A24" s="73" t="s">
        <v>169</v>
      </c>
      <c r="B24" s="192">
        <v>-0.45451962956650194</v>
      </c>
      <c r="C24" s="198">
        <v>35202</v>
      </c>
      <c r="K24" s="186" t="s">
        <v>424</v>
      </c>
    </row>
    <row r="25" spans="1:15" x14ac:dyDescent="0.25">
      <c r="K25" s="186" t="s">
        <v>425</v>
      </c>
    </row>
    <row r="27" spans="1:15" x14ac:dyDescent="0.25">
      <c r="A27" s="72" t="s">
        <v>151</v>
      </c>
      <c r="B27" s="183">
        <f t="shared" ref="B27:B41" si="0">VLOOKUP(A27,$H$3:$I$19,2,0)-VLOOKUP(A27,$E$3:$F$19,2,0)</f>
        <v>1.8778538629060684</v>
      </c>
      <c r="C27" s="183"/>
      <c r="D27" s="183">
        <f t="shared" ref="D27:D33" si="1">VLOOKUP(A27,$A$4:$B$24,2,0)</f>
        <v>1.8778538629060681</v>
      </c>
      <c r="E27" s="183">
        <f>B27-D27</f>
        <v>0</v>
      </c>
    </row>
    <row r="28" spans="1:15" x14ac:dyDescent="0.25">
      <c r="A28" s="72" t="s">
        <v>150</v>
      </c>
      <c r="B28" s="183">
        <f t="shared" si="0"/>
        <v>1.9322219080823588</v>
      </c>
      <c r="C28" s="183"/>
      <c r="D28" s="183">
        <f t="shared" si="1"/>
        <v>1.9322219080823588</v>
      </c>
      <c r="E28" s="183">
        <f t="shared" ref="E28:E41" si="2">B28-D28</f>
        <v>0</v>
      </c>
    </row>
    <row r="29" spans="1:15" x14ac:dyDescent="0.25">
      <c r="A29" s="81" t="s">
        <v>149</v>
      </c>
      <c r="B29" s="183">
        <f t="shared" si="0"/>
        <v>2.0918037593984353</v>
      </c>
      <c r="C29" s="183"/>
      <c r="D29" s="183">
        <f t="shared" si="1"/>
        <v>2.0918582642408992</v>
      </c>
      <c r="E29" s="183">
        <f t="shared" si="2"/>
        <v>-5.4504842463831693E-5</v>
      </c>
    </row>
    <row r="30" spans="1:15" x14ac:dyDescent="0.25">
      <c r="A30" s="72" t="s">
        <v>160</v>
      </c>
      <c r="B30" s="183">
        <f t="shared" si="0"/>
        <v>0.91931862791944674</v>
      </c>
      <c r="C30" s="183"/>
      <c r="D30" s="183">
        <f t="shared" si="1"/>
        <v>0.91947303380873624</v>
      </c>
      <c r="E30" s="183">
        <f t="shared" si="2"/>
        <v>-1.544058892894995E-4</v>
      </c>
    </row>
    <row r="31" spans="1:15" x14ac:dyDescent="0.25">
      <c r="A31" s="72" t="s">
        <v>162</v>
      </c>
      <c r="B31" s="183">
        <f t="shared" si="0"/>
        <v>0.79834252125189753</v>
      </c>
      <c r="C31" s="183"/>
      <c r="D31" s="183">
        <f t="shared" si="1"/>
        <v>0.79834252125189853</v>
      </c>
      <c r="E31" s="183">
        <f t="shared" si="2"/>
        <v>-9.9920072216264089E-16</v>
      </c>
    </row>
    <row r="32" spans="1:15" x14ac:dyDescent="0.25">
      <c r="A32" s="72" t="s">
        <v>158</v>
      </c>
      <c r="B32" s="183">
        <f t="shared" si="0"/>
        <v>0.98281640527069936</v>
      </c>
      <c r="C32" s="183"/>
      <c r="D32" s="183">
        <f t="shared" si="1"/>
        <v>0.98273373334735004</v>
      </c>
      <c r="E32" s="183">
        <f t="shared" si="2"/>
        <v>8.2671923349320053E-5</v>
      </c>
    </row>
    <row r="33" spans="1:5" x14ac:dyDescent="0.25">
      <c r="A33" s="72" t="s">
        <v>167</v>
      </c>
      <c r="B33" s="183">
        <f t="shared" si="0"/>
        <v>0.1744237030111897</v>
      </c>
      <c r="C33" s="183"/>
      <c r="D33" s="183">
        <f t="shared" si="1"/>
        <v>0.17442370301118998</v>
      </c>
      <c r="E33" s="183">
        <f t="shared" si="2"/>
        <v>-2.7755575615628914E-16</v>
      </c>
    </row>
    <row r="34" spans="1:5" x14ac:dyDescent="0.25">
      <c r="A34" s="72" t="s">
        <v>170</v>
      </c>
      <c r="B34" s="183">
        <f t="shared" si="0"/>
        <v>0.7653425071741955</v>
      </c>
      <c r="C34" s="183"/>
      <c r="D34" s="183">
        <f>SUM(B10:B12,B7,B21,B24)/6</f>
        <v>0.79961748692142864</v>
      </c>
      <c r="E34" s="183">
        <f t="shared" si="2"/>
        <v>-3.4274979747233147E-2</v>
      </c>
    </row>
    <row r="35" spans="1:5" x14ac:dyDescent="0.25">
      <c r="A35" s="72" t="s">
        <v>164</v>
      </c>
      <c r="B35" s="183">
        <f t="shared" si="0"/>
        <v>0.59251396964008674</v>
      </c>
      <c r="C35" s="183"/>
      <c r="D35" s="183">
        <f t="shared" ref="D35:D41" si="3">VLOOKUP(A35,$A$4:$B$24,2,0)</f>
        <v>0.59254837778381131</v>
      </c>
      <c r="E35" s="183">
        <f t="shared" si="2"/>
        <v>-3.440814372457357E-5</v>
      </c>
    </row>
    <row r="36" spans="1:5" x14ac:dyDescent="0.25">
      <c r="A36" s="72" t="s">
        <v>163</v>
      </c>
      <c r="B36" s="183">
        <f t="shared" si="0"/>
        <v>0.67239316527363613</v>
      </c>
      <c r="C36" s="183"/>
      <c r="D36" s="183">
        <f t="shared" si="3"/>
        <v>0.67252091696140859</v>
      </c>
      <c r="E36" s="183">
        <f t="shared" si="2"/>
        <v>-1.2775168777245938E-4</v>
      </c>
    </row>
    <row r="37" spans="1:5" x14ac:dyDescent="0.25">
      <c r="A37" s="72" t="s">
        <v>153</v>
      </c>
      <c r="B37" s="183">
        <f t="shared" si="0"/>
        <v>1.7963123215879664</v>
      </c>
      <c r="C37" s="183"/>
      <c r="D37" s="183">
        <f t="shared" si="3"/>
        <v>1.7963903582869034</v>
      </c>
      <c r="E37" s="183">
        <f t="shared" si="2"/>
        <v>-7.8036698937022919E-5</v>
      </c>
    </row>
    <row r="38" spans="1:5" x14ac:dyDescent="0.25">
      <c r="A38" s="72" t="s">
        <v>154</v>
      </c>
      <c r="B38" s="183">
        <f t="shared" si="0"/>
        <v>1.2563265106556232</v>
      </c>
      <c r="C38" s="183"/>
      <c r="D38" s="183">
        <f t="shared" si="3"/>
        <v>1.2563265106556243</v>
      </c>
      <c r="E38" s="183">
        <f t="shared" si="2"/>
        <v>0</v>
      </c>
    </row>
    <row r="39" spans="1:5" x14ac:dyDescent="0.25">
      <c r="A39" s="72" t="s">
        <v>159</v>
      </c>
      <c r="B39" s="183">
        <f t="shared" si="0"/>
        <v>0.97347252329629796</v>
      </c>
      <c r="C39" s="183"/>
      <c r="D39" s="183">
        <f t="shared" si="3"/>
        <v>0.97347252329629752</v>
      </c>
      <c r="E39" s="183">
        <f t="shared" si="2"/>
        <v>0</v>
      </c>
    </row>
    <row r="40" spans="1:5" x14ac:dyDescent="0.25">
      <c r="A40" s="72" t="s">
        <v>168</v>
      </c>
      <c r="B40" s="183">
        <f t="shared" si="0"/>
        <v>-0.19563136007830106</v>
      </c>
      <c r="C40" s="183"/>
      <c r="D40" s="183">
        <f t="shared" si="3"/>
        <v>-0.19565874562061603</v>
      </c>
      <c r="E40" s="183">
        <f t="shared" si="2"/>
        <v>2.7385542314961597E-5</v>
      </c>
    </row>
    <row r="41" spans="1:5" x14ac:dyDescent="0.25">
      <c r="A41" s="73" t="s">
        <v>165</v>
      </c>
      <c r="B41" s="183">
        <f t="shared" si="0"/>
        <v>0.4952112218966267</v>
      </c>
      <c r="C41" s="183"/>
      <c r="D41" s="183">
        <f t="shared" si="3"/>
        <v>0.49521122189662625</v>
      </c>
      <c r="E41" s="183">
        <f t="shared" si="2"/>
        <v>4.4408920985006262E-16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5"/>
  <sheetViews>
    <sheetView showGridLines="0" zoomScaleNormal="100" workbookViewId="0">
      <selection activeCell="P5" sqref="P5"/>
    </sheetView>
  </sheetViews>
  <sheetFormatPr defaultRowHeight="15" x14ac:dyDescent="0.25"/>
  <cols>
    <col min="1" max="1" width="19.7109375" bestFit="1" customWidth="1"/>
    <col min="2" max="2" width="13.7109375" customWidth="1"/>
    <col min="3" max="3" width="21.7109375" customWidth="1"/>
    <col min="5" max="5" width="19.7109375" bestFit="1" customWidth="1"/>
    <col min="6" max="6" width="13.28515625" customWidth="1"/>
    <col min="7" max="7" width="9.28515625" style="156"/>
    <col min="8" max="8" width="21" customWidth="1"/>
    <col min="9" max="9" width="13.28515625" customWidth="1"/>
    <col min="11" max="11" width="23.7109375" customWidth="1"/>
    <col min="12" max="12" width="16" bestFit="1" customWidth="1"/>
    <col min="14" max="14" width="14" customWidth="1"/>
  </cols>
  <sheetData>
    <row r="1" spans="1:14" x14ac:dyDescent="0.25">
      <c r="A1" s="180" t="s">
        <v>431</v>
      </c>
    </row>
    <row r="3" spans="1:14" x14ac:dyDescent="0.25">
      <c r="A3" s="70" t="s">
        <v>148</v>
      </c>
      <c r="B3" s="71" t="s">
        <v>432</v>
      </c>
      <c r="C3" s="71" t="s">
        <v>433</v>
      </c>
      <c r="E3" s="70" t="s">
        <v>148</v>
      </c>
      <c r="F3" s="75" t="s">
        <v>434</v>
      </c>
      <c r="G3" s="200"/>
      <c r="H3" s="70" t="s">
        <v>148</v>
      </c>
      <c r="I3" s="75" t="s">
        <v>435</v>
      </c>
      <c r="K3" s="70" t="s">
        <v>148</v>
      </c>
      <c r="L3" s="71" t="s">
        <v>422</v>
      </c>
    </row>
    <row r="4" spans="1:14" x14ac:dyDescent="0.25">
      <c r="A4" s="72" t="s">
        <v>152</v>
      </c>
      <c r="B4" s="76">
        <v>2.6127370933299843</v>
      </c>
      <c r="C4" s="197">
        <v>7961</v>
      </c>
      <c r="E4" s="72" t="s">
        <v>151</v>
      </c>
      <c r="F4" s="76">
        <v>3.2971457724485225</v>
      </c>
      <c r="G4" s="201"/>
      <c r="H4" s="72" t="s">
        <v>159</v>
      </c>
      <c r="I4" s="188">
        <v>6.598595648564836</v>
      </c>
      <c r="K4" s="72" t="s">
        <v>175</v>
      </c>
      <c r="L4" s="79">
        <f>L19</f>
        <v>0.24253249895164672</v>
      </c>
      <c r="M4" t="s">
        <v>420</v>
      </c>
    </row>
    <row r="5" spans="1:14" x14ac:dyDescent="0.25">
      <c r="A5" s="81" t="s">
        <v>149</v>
      </c>
      <c r="B5" s="202">
        <v>2.2383955730721752</v>
      </c>
      <c r="C5" s="196">
        <f>'Op. metric&amp;Add info'!L5</f>
        <v>15509</v>
      </c>
      <c r="E5" s="72" t="s">
        <v>150</v>
      </c>
      <c r="F5" s="76">
        <v>3.4136381616851792</v>
      </c>
      <c r="G5" s="201"/>
      <c r="H5" s="81" t="s">
        <v>149</v>
      </c>
      <c r="I5" s="187">
        <v>6.5028485605308539</v>
      </c>
      <c r="K5" s="81" t="s">
        <v>149</v>
      </c>
      <c r="L5" s="82">
        <f>'Op. metric&amp;Add info'!L26</f>
        <v>0.23673671992690096</v>
      </c>
      <c r="M5" t="s">
        <v>421</v>
      </c>
    </row>
    <row r="6" spans="1:14" x14ac:dyDescent="0.25">
      <c r="A6" s="72" t="s">
        <v>150</v>
      </c>
      <c r="B6" s="76">
        <v>2.0595650950209143</v>
      </c>
      <c r="C6" s="197">
        <v>100400</v>
      </c>
      <c r="E6" s="72" t="s">
        <v>160</v>
      </c>
      <c r="F6" s="76">
        <v>4.0151051258011936</v>
      </c>
      <c r="G6" s="201"/>
      <c r="H6" s="72" t="s">
        <v>153</v>
      </c>
      <c r="I6" s="188">
        <v>6.1936285041152495</v>
      </c>
      <c r="K6" s="72" t="s">
        <v>176</v>
      </c>
      <c r="L6" s="78">
        <v>0.105</v>
      </c>
      <c r="M6" t="s">
        <v>429</v>
      </c>
    </row>
    <row r="7" spans="1:14" x14ac:dyDescent="0.25">
      <c r="A7" s="72" t="s">
        <v>151</v>
      </c>
      <c r="B7" s="76">
        <v>1.5836610876901351</v>
      </c>
      <c r="C7" s="197">
        <v>49900</v>
      </c>
      <c r="E7" s="72" t="s">
        <v>158</v>
      </c>
      <c r="F7" s="76">
        <v>4.0433871052142862</v>
      </c>
      <c r="G7" s="201"/>
      <c r="H7" s="72" t="s">
        <v>168</v>
      </c>
      <c r="I7" s="188">
        <v>6.1172356712228027</v>
      </c>
      <c r="K7" s="72" t="s">
        <v>177</v>
      </c>
      <c r="L7" s="78">
        <v>8.5000000000000006E-2</v>
      </c>
      <c r="M7" t="s">
        <v>429</v>
      </c>
    </row>
    <row r="8" spans="1:14" x14ac:dyDescent="0.25">
      <c r="A8" s="72" t="s">
        <v>155</v>
      </c>
      <c r="B8" s="76">
        <v>1.19892911186125</v>
      </c>
      <c r="C8" s="197">
        <v>8591</v>
      </c>
      <c r="E8" s="72" t="s">
        <v>163</v>
      </c>
      <c r="F8" s="76">
        <v>4.1107336713024472</v>
      </c>
      <c r="G8" s="201"/>
      <c r="H8" s="72" t="s">
        <v>174</v>
      </c>
      <c r="I8" s="188">
        <v>5.5094639527662341</v>
      </c>
      <c r="K8" s="72" t="s">
        <v>170</v>
      </c>
      <c r="L8" s="78">
        <v>8.3000000000000004E-2</v>
      </c>
      <c r="M8" t="s">
        <v>429</v>
      </c>
    </row>
    <row r="9" spans="1:14" x14ac:dyDescent="0.25">
      <c r="A9" s="72" t="s">
        <v>159</v>
      </c>
      <c r="B9" s="76">
        <v>1.196213925696274</v>
      </c>
      <c r="C9" s="197">
        <v>24000</v>
      </c>
      <c r="E9" s="72" t="s">
        <v>162</v>
      </c>
      <c r="F9" s="76">
        <v>4.1150906237209348</v>
      </c>
      <c r="G9" s="201"/>
      <c r="H9" s="72" t="s">
        <v>150</v>
      </c>
      <c r="I9" s="188">
        <v>5.4732032567060935</v>
      </c>
      <c r="K9" s="72" t="s">
        <v>171</v>
      </c>
      <c r="L9" s="78">
        <f>M19</f>
        <v>6.2665008668976632E-2</v>
      </c>
      <c r="M9" t="s">
        <v>428</v>
      </c>
    </row>
    <row r="10" spans="1:14" x14ac:dyDescent="0.25">
      <c r="A10" s="72" t="s">
        <v>153</v>
      </c>
      <c r="B10" s="76">
        <v>1.1852038979282344</v>
      </c>
      <c r="C10" s="197">
        <v>50700</v>
      </c>
      <c r="E10" s="81" t="s">
        <v>149</v>
      </c>
      <c r="F10" s="83">
        <v>4.2644292694376791</v>
      </c>
      <c r="G10" s="201"/>
      <c r="H10" s="72" t="s">
        <v>162</v>
      </c>
      <c r="I10" s="188">
        <v>5.2974763401405056</v>
      </c>
      <c r="K10" s="73" t="s">
        <v>178</v>
      </c>
      <c r="L10" s="80">
        <f>N19</f>
        <v>3.5276830740752246E-2</v>
      </c>
      <c r="M10" t="s">
        <v>428</v>
      </c>
    </row>
    <row r="11" spans="1:14" x14ac:dyDescent="0.25">
      <c r="A11" s="72" t="s">
        <v>162</v>
      </c>
      <c r="B11" s="76">
        <v>1.182385716419571</v>
      </c>
      <c r="C11" s="197">
        <v>23043</v>
      </c>
      <c r="E11" s="72" t="s">
        <v>167</v>
      </c>
      <c r="F11" s="76">
        <v>4.3684979575332612</v>
      </c>
      <c r="G11" s="201"/>
      <c r="H11" s="72" t="s">
        <v>163</v>
      </c>
      <c r="I11" s="188">
        <v>5.2672236191727899</v>
      </c>
    </row>
    <row r="12" spans="1:14" x14ac:dyDescent="0.25">
      <c r="A12" s="72" t="s">
        <v>163</v>
      </c>
      <c r="B12" s="76">
        <v>1.1562848005670163</v>
      </c>
      <c r="C12" s="197">
        <v>34986</v>
      </c>
      <c r="E12" s="72" t="s">
        <v>164</v>
      </c>
      <c r="F12" s="76">
        <v>4.5191167474957163</v>
      </c>
      <c r="G12" s="201"/>
      <c r="H12" s="72" t="s">
        <v>154</v>
      </c>
      <c r="I12" s="188">
        <v>5.2544497817439337</v>
      </c>
    </row>
    <row r="13" spans="1:14" x14ac:dyDescent="0.25">
      <c r="A13" s="72" t="s">
        <v>158</v>
      </c>
      <c r="B13" s="76">
        <v>1.0816517257224527</v>
      </c>
      <c r="C13" s="197">
        <v>67906</v>
      </c>
      <c r="E13" s="72" t="s">
        <v>170</v>
      </c>
      <c r="F13" s="76">
        <v>4.6035863774949926</v>
      </c>
      <c r="G13" s="201"/>
      <c r="H13" s="72" t="s">
        <v>158</v>
      </c>
      <c r="I13" s="188">
        <v>5.1254918069132467</v>
      </c>
      <c r="K13" s="181"/>
      <c r="L13" s="182" t="s">
        <v>175</v>
      </c>
      <c r="M13" s="182" t="s">
        <v>171</v>
      </c>
      <c r="N13" s="182" t="s">
        <v>426</v>
      </c>
    </row>
    <row r="14" spans="1:14" x14ac:dyDescent="0.25">
      <c r="A14" s="72" t="s">
        <v>160</v>
      </c>
      <c r="B14" s="76">
        <v>0.65743893281193599</v>
      </c>
      <c r="C14" s="197">
        <v>30509</v>
      </c>
      <c r="E14" s="72" t="s">
        <v>173</v>
      </c>
      <c r="F14" s="76">
        <v>4.8329250833804753</v>
      </c>
      <c r="G14" s="201"/>
      <c r="H14" s="72" t="s">
        <v>170</v>
      </c>
      <c r="I14" s="188">
        <v>5.0110155946261177</v>
      </c>
      <c r="K14" t="s">
        <v>415</v>
      </c>
      <c r="L14" s="179">
        <v>3007.5</v>
      </c>
      <c r="M14" s="179">
        <v>621.15800000000002</v>
      </c>
      <c r="N14" s="179">
        <v>232.28800000000001</v>
      </c>
    </row>
    <row r="15" spans="1:14" x14ac:dyDescent="0.25">
      <c r="A15" s="72" t="s">
        <v>157</v>
      </c>
      <c r="B15" s="76">
        <v>0.65492183683439165</v>
      </c>
      <c r="C15" s="197">
        <v>262016</v>
      </c>
      <c r="E15" s="72" t="s">
        <v>153</v>
      </c>
      <c r="F15" s="76">
        <v>5.008424606187015</v>
      </c>
      <c r="G15" s="201"/>
      <c r="H15" s="72" t="s">
        <v>151</v>
      </c>
      <c r="I15" s="188">
        <v>4.8808068601386578</v>
      </c>
      <c r="K15" t="s">
        <v>417</v>
      </c>
      <c r="L15" s="179">
        <f>(2902.1+4892.6)/2</f>
        <v>3897.3500000000004</v>
      </c>
      <c r="M15" s="179">
        <f>(1018.685+1752.751)/2</f>
        <v>1385.7179999999998</v>
      </c>
      <c r="N15" s="179">
        <f>(1938.673+86.122-28.849+3679.23)/2</f>
        <v>2837.5880000000002</v>
      </c>
    </row>
    <row r="16" spans="1:14" x14ac:dyDescent="0.25">
      <c r="A16" s="72" t="s">
        <v>156</v>
      </c>
      <c r="B16" s="76">
        <v>0.44368600682593862</v>
      </c>
      <c r="C16" s="197">
        <v>52740</v>
      </c>
      <c r="E16" s="72" t="s">
        <v>154</v>
      </c>
      <c r="F16" s="76">
        <v>5.2900955465949604</v>
      </c>
      <c r="G16" s="201"/>
      <c r="H16" s="72" t="s">
        <v>167</v>
      </c>
      <c r="I16" s="188">
        <v>4.8096414576836555</v>
      </c>
      <c r="K16" t="s">
        <v>418</v>
      </c>
      <c r="L16" s="179">
        <f>(9740.1+10986.9)/2</f>
        <v>10363.5</v>
      </c>
      <c r="M16" s="179">
        <f>(8496.875+8729.487)/2</f>
        <v>8613.1810000000005</v>
      </c>
      <c r="N16" s="179">
        <f>(4409.002+4140.843)/2</f>
        <v>4274.9225000000006</v>
      </c>
    </row>
    <row r="17" spans="1:14" x14ac:dyDescent="0.25">
      <c r="A17" s="72" t="s">
        <v>167</v>
      </c>
      <c r="B17" s="76">
        <v>0.44114350015039439</v>
      </c>
      <c r="C17" s="197">
        <v>26919</v>
      </c>
      <c r="E17" s="72" t="s">
        <v>159</v>
      </c>
      <c r="F17" s="76">
        <v>5.4023817228685616</v>
      </c>
      <c r="G17" s="201"/>
      <c r="H17" s="72" t="s">
        <v>164</v>
      </c>
      <c r="I17" s="188">
        <v>4.7375904427206708</v>
      </c>
      <c r="K17" t="s">
        <v>419</v>
      </c>
      <c r="L17" s="179">
        <f>(1954+1766.9)/2</f>
        <v>1860.45</v>
      </c>
      <c r="M17" s="179">
        <f>(27.695+145.387)/2</f>
        <v>86.540999999999997</v>
      </c>
      <c r="N17" s="179">
        <f>(708357+347227)/2/1000</f>
        <v>527.79200000000003</v>
      </c>
    </row>
    <row r="18" spans="1:14" x14ac:dyDescent="0.25">
      <c r="A18" s="72" t="s">
        <v>164</v>
      </c>
      <c r="B18" s="76">
        <v>0.21808826878766258</v>
      </c>
      <c r="C18" s="197">
        <v>67957</v>
      </c>
      <c r="E18" s="72" t="s">
        <v>174</v>
      </c>
      <c r="F18" s="76">
        <v>5.9255866078090014</v>
      </c>
      <c r="G18" s="201"/>
      <c r="H18" s="72" t="s">
        <v>160</v>
      </c>
      <c r="I18" s="188">
        <v>4.6726418254095297</v>
      </c>
      <c r="K18" t="s">
        <v>416</v>
      </c>
      <c r="L18" s="179">
        <f>L15+L16-L17</f>
        <v>12400.4</v>
      </c>
      <c r="M18" s="179">
        <f>M15+M16-M17</f>
        <v>9912.358000000002</v>
      </c>
      <c r="N18" s="179">
        <f>N15+N16-N17</f>
        <v>6584.7184999999999</v>
      </c>
    </row>
    <row r="19" spans="1:14" ht="15.75" thickBot="1" x14ac:dyDescent="0.3">
      <c r="A19" s="72" t="s">
        <v>161</v>
      </c>
      <c r="B19" s="76">
        <v>5.6769344270822246E-2</v>
      </c>
      <c r="C19" s="197">
        <v>7444</v>
      </c>
      <c r="E19" s="73" t="s">
        <v>168</v>
      </c>
      <c r="F19" s="77">
        <v>6.2114832883918494</v>
      </c>
      <c r="G19" s="201"/>
      <c r="H19" s="73" t="s">
        <v>173</v>
      </c>
      <c r="I19" s="189">
        <v>4.5816954416208882</v>
      </c>
      <c r="K19" s="184" t="s">
        <v>138</v>
      </c>
      <c r="L19" s="185">
        <f>L14/L18</f>
        <v>0.24253249895164672</v>
      </c>
      <c r="M19" s="185">
        <f>M14/M18</f>
        <v>6.2665008668976632E-2</v>
      </c>
      <c r="N19" s="185">
        <f>N14/N18</f>
        <v>3.5276830740752246E-2</v>
      </c>
    </row>
    <row r="20" spans="1:14" ht="15.75" thickTop="1" x14ac:dyDescent="0.25">
      <c r="A20" s="72" t="s">
        <v>154</v>
      </c>
      <c r="B20" s="76">
        <v>-3.2565266654024379E-2</v>
      </c>
      <c r="C20" s="197">
        <v>21181</v>
      </c>
    </row>
    <row r="21" spans="1:14" x14ac:dyDescent="0.25">
      <c r="A21" s="72" t="s">
        <v>168</v>
      </c>
      <c r="B21" s="76">
        <v>-9.20960377260647E-2</v>
      </c>
      <c r="C21" s="197">
        <v>34986</v>
      </c>
    </row>
    <row r="22" spans="1:14" x14ac:dyDescent="0.25">
      <c r="A22" s="72" t="s">
        <v>166</v>
      </c>
      <c r="B22" s="76">
        <v>-0.19513706055443711</v>
      </c>
      <c r="C22" s="197">
        <v>64570</v>
      </c>
      <c r="K22" s="186" t="s">
        <v>430</v>
      </c>
    </row>
    <row r="23" spans="1:14" x14ac:dyDescent="0.25">
      <c r="A23" s="72" t="s">
        <v>172</v>
      </c>
      <c r="B23" s="76">
        <v>-0.22334821009331648</v>
      </c>
      <c r="C23" s="197">
        <v>36460</v>
      </c>
      <c r="K23" s="186" t="s">
        <v>423</v>
      </c>
    </row>
    <row r="24" spans="1:14" x14ac:dyDescent="0.25">
      <c r="A24" s="72" t="s">
        <v>173</v>
      </c>
      <c r="B24" s="76">
        <v>-0.25124744414052025</v>
      </c>
      <c r="C24" s="197">
        <v>48650</v>
      </c>
      <c r="K24" s="186" t="s">
        <v>424</v>
      </c>
    </row>
    <row r="25" spans="1:14" x14ac:dyDescent="0.25">
      <c r="A25" s="72" t="s">
        <v>174</v>
      </c>
      <c r="B25" s="76">
        <v>-0.41612265504276685</v>
      </c>
      <c r="C25" s="197">
        <v>11200</v>
      </c>
      <c r="K25" s="186" t="s">
        <v>425</v>
      </c>
    </row>
    <row r="26" spans="1:14" x14ac:dyDescent="0.25">
      <c r="A26" s="73" t="s">
        <v>169</v>
      </c>
      <c r="B26" s="77">
        <v>-0.78037904124860646</v>
      </c>
      <c r="C26" s="198">
        <v>43953</v>
      </c>
    </row>
    <row r="30" spans="1:14" x14ac:dyDescent="0.25">
      <c r="A30" s="72" t="s">
        <v>151</v>
      </c>
      <c r="B30" s="183">
        <f t="shared" ref="B30:B45" si="0">VLOOKUP(A30,$H$3:$I$19,2,0)-VLOOKUP(A30,$E$3:$F$19,2,0)</f>
        <v>1.5836610876901354</v>
      </c>
      <c r="C30" s="183"/>
      <c r="D30" s="183">
        <f t="shared" ref="D30:D43" si="1">VLOOKUP(A30,$A$4:$B$24,2,0)</f>
        <v>1.5836610876901351</v>
      </c>
      <c r="E30" s="183">
        <f>B30-D30</f>
        <v>0</v>
      </c>
    </row>
    <row r="31" spans="1:14" x14ac:dyDescent="0.25">
      <c r="A31" s="72" t="s">
        <v>150</v>
      </c>
      <c r="B31" s="183">
        <f t="shared" si="0"/>
        <v>2.0595650950209143</v>
      </c>
      <c r="C31" s="183"/>
      <c r="D31" s="183">
        <f t="shared" si="1"/>
        <v>2.0595650950209143</v>
      </c>
      <c r="E31" s="183">
        <f t="shared" ref="E31:E44" si="2">B31-D31</f>
        <v>0</v>
      </c>
    </row>
    <row r="32" spans="1:14" x14ac:dyDescent="0.25">
      <c r="A32" s="72" t="s">
        <v>160</v>
      </c>
      <c r="B32" s="183">
        <f t="shared" si="0"/>
        <v>0.65753669960833605</v>
      </c>
      <c r="C32" s="183"/>
      <c r="D32" s="183">
        <f t="shared" si="1"/>
        <v>0.65743893281193599</v>
      </c>
      <c r="E32" s="183">
        <f t="shared" si="2"/>
        <v>9.7766796400056144E-5</v>
      </c>
    </row>
    <row r="33" spans="1:5" x14ac:dyDescent="0.25">
      <c r="A33" s="72" t="s">
        <v>158</v>
      </c>
      <c r="B33" s="183">
        <f t="shared" si="0"/>
        <v>1.0821047016989604</v>
      </c>
      <c r="C33" s="183"/>
      <c r="D33" s="183">
        <f t="shared" si="1"/>
        <v>1.0816517257224527</v>
      </c>
      <c r="E33" s="183">
        <f t="shared" si="2"/>
        <v>4.5297597650773014E-4</v>
      </c>
    </row>
    <row r="34" spans="1:5" x14ac:dyDescent="0.25">
      <c r="A34" s="72" t="s">
        <v>163</v>
      </c>
      <c r="B34" s="183">
        <f t="shared" si="0"/>
        <v>1.1564899478703428</v>
      </c>
      <c r="C34" s="183"/>
      <c r="D34" s="183">
        <f t="shared" si="1"/>
        <v>1.1562848005670163</v>
      </c>
      <c r="E34" s="183">
        <f t="shared" si="2"/>
        <v>2.0514730332643616E-4</v>
      </c>
    </row>
    <row r="35" spans="1:5" x14ac:dyDescent="0.25">
      <c r="A35" s="72" t="s">
        <v>162</v>
      </c>
      <c r="B35" s="183">
        <f t="shared" si="0"/>
        <v>1.1823857164195708</v>
      </c>
      <c r="C35" s="183"/>
      <c r="D35" s="183">
        <f t="shared" si="1"/>
        <v>1.182385716419571</v>
      </c>
      <c r="E35" s="183">
        <f t="shared" si="2"/>
        <v>0</v>
      </c>
    </row>
    <row r="36" spans="1:5" x14ac:dyDescent="0.25">
      <c r="A36" s="81" t="s">
        <v>149</v>
      </c>
      <c r="B36" s="183">
        <f t="shared" si="0"/>
        <v>2.2384192910931748</v>
      </c>
      <c r="C36" s="183"/>
      <c r="D36" s="183">
        <f t="shared" si="1"/>
        <v>2.2383955730721752</v>
      </c>
      <c r="E36" s="183">
        <f t="shared" si="2"/>
        <v>2.3718020999652367E-5</v>
      </c>
    </row>
    <row r="37" spans="1:5" x14ac:dyDescent="0.25">
      <c r="A37" s="72" t="s">
        <v>167</v>
      </c>
      <c r="B37" s="183">
        <f t="shared" si="0"/>
        <v>0.44114350015039427</v>
      </c>
      <c r="C37" s="183"/>
      <c r="D37" s="183">
        <f t="shared" si="1"/>
        <v>0.44114350015039439</v>
      </c>
      <c r="E37" s="183">
        <f t="shared" si="2"/>
        <v>0</v>
      </c>
    </row>
    <row r="38" spans="1:5" x14ac:dyDescent="0.25">
      <c r="A38" s="72" t="s">
        <v>164</v>
      </c>
      <c r="B38" s="183">
        <f t="shared" si="0"/>
        <v>0.21847369522495441</v>
      </c>
      <c r="C38" s="183"/>
      <c r="D38" s="183">
        <f t="shared" si="1"/>
        <v>0.21808826878766258</v>
      </c>
      <c r="E38" s="183">
        <f t="shared" si="2"/>
        <v>3.854264372918359E-4</v>
      </c>
    </row>
    <row r="39" spans="1:5" x14ac:dyDescent="0.25">
      <c r="A39" s="72" t="s">
        <v>170</v>
      </c>
      <c r="B39" s="183">
        <f t="shared" si="0"/>
        <v>0.40742921713112512</v>
      </c>
      <c r="C39" s="183"/>
      <c r="D39" s="183" t="e">
        <f t="shared" si="1"/>
        <v>#N/A</v>
      </c>
      <c r="E39" s="183" t="e">
        <f t="shared" si="2"/>
        <v>#N/A</v>
      </c>
    </row>
    <row r="40" spans="1:5" x14ac:dyDescent="0.25">
      <c r="A40" s="72" t="s">
        <v>173</v>
      </c>
      <c r="B40" s="183">
        <f t="shared" si="0"/>
        <v>-0.25122964175958717</v>
      </c>
      <c r="C40" s="183"/>
      <c r="D40" s="183">
        <f t="shared" si="1"/>
        <v>-0.25124744414052025</v>
      </c>
      <c r="E40" s="183">
        <f t="shared" si="2"/>
        <v>1.7802380933074069E-5</v>
      </c>
    </row>
    <row r="41" spans="1:5" x14ac:dyDescent="0.25">
      <c r="A41" s="72" t="s">
        <v>153</v>
      </c>
      <c r="B41" s="183">
        <f t="shared" si="0"/>
        <v>1.1852038979282344</v>
      </c>
      <c r="C41" s="183"/>
      <c r="D41" s="183">
        <f t="shared" si="1"/>
        <v>1.1852038979282344</v>
      </c>
      <c r="E41" s="183">
        <f t="shared" si="2"/>
        <v>0</v>
      </c>
    </row>
    <row r="42" spans="1:5" x14ac:dyDescent="0.25">
      <c r="A42" s="72" t="s">
        <v>154</v>
      </c>
      <c r="B42" s="183">
        <f t="shared" si="0"/>
        <v>-3.5645764851026662E-2</v>
      </c>
      <c r="C42" s="183"/>
      <c r="D42" s="183">
        <f t="shared" si="1"/>
        <v>-3.2565266654024379E-2</v>
      </c>
      <c r="E42" s="183">
        <f t="shared" si="2"/>
        <v>-3.0804981970022835E-3</v>
      </c>
    </row>
    <row r="43" spans="1:5" x14ac:dyDescent="0.25">
      <c r="A43" s="72" t="s">
        <v>159</v>
      </c>
      <c r="B43" s="183">
        <f t="shared" si="0"/>
        <v>1.1962139256962745</v>
      </c>
      <c r="C43" s="183"/>
      <c r="D43" s="183">
        <f t="shared" si="1"/>
        <v>1.196213925696274</v>
      </c>
      <c r="E43" s="183">
        <f t="shared" si="2"/>
        <v>0</v>
      </c>
    </row>
    <row r="44" spans="1:5" x14ac:dyDescent="0.25">
      <c r="A44" s="72" t="s">
        <v>174</v>
      </c>
      <c r="B44" s="183">
        <f t="shared" si="0"/>
        <v>-0.41612265504276724</v>
      </c>
      <c r="C44" s="183"/>
      <c r="D44" s="183">
        <f>VLOOKUP(A44,$A$4:$B$25,2,0)</f>
        <v>-0.41612265504276685</v>
      </c>
      <c r="E44" s="183">
        <f t="shared" si="2"/>
        <v>0</v>
      </c>
    </row>
    <row r="45" spans="1:5" x14ac:dyDescent="0.25">
      <c r="A45" s="72" t="s">
        <v>168</v>
      </c>
      <c r="B45" s="183">
        <f t="shared" si="0"/>
        <v>-9.4247617169046727E-2</v>
      </c>
      <c r="C45" s="183"/>
      <c r="D45" s="183">
        <f>VLOOKUP(A45,$A$4:$B$25,2,0)</f>
        <v>-9.20960377260647E-2</v>
      </c>
      <c r="E45" s="183">
        <f t="shared" ref="E45" si="3">B45-D45</f>
        <v>-2.1515794429820267E-3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2"/>
  <sheetViews>
    <sheetView showGridLines="0" workbookViewId="0">
      <selection activeCell="P5" sqref="P5"/>
    </sheetView>
  </sheetViews>
  <sheetFormatPr defaultRowHeight="15" x14ac:dyDescent="0.25"/>
  <cols>
    <col min="1" max="1" width="23.28515625" bestFit="1" customWidth="1"/>
    <col min="2" max="2" width="12.7109375" customWidth="1"/>
    <col min="3" max="3" width="20" customWidth="1"/>
    <col min="5" max="5" width="27" customWidth="1"/>
    <col min="6" max="6" width="15.28515625" customWidth="1"/>
    <col min="8" max="8" width="23.28515625" bestFit="1" customWidth="1"/>
    <col min="9" max="9" width="12.7109375" customWidth="1"/>
    <col min="11" max="11" width="24.5703125" customWidth="1"/>
    <col min="12" max="12" width="16" bestFit="1" customWidth="1"/>
    <col min="13" max="13" width="10.42578125" customWidth="1"/>
    <col min="14" max="14" width="15" customWidth="1"/>
    <col min="15" max="15" width="8.7109375" customWidth="1"/>
  </cols>
  <sheetData>
    <row r="1" spans="1:14" x14ac:dyDescent="0.25">
      <c r="A1" s="180" t="s">
        <v>431</v>
      </c>
    </row>
    <row r="3" spans="1:14" x14ac:dyDescent="0.25">
      <c r="A3" s="70" t="s">
        <v>148</v>
      </c>
      <c r="B3" s="71" t="s">
        <v>432</v>
      </c>
      <c r="C3" s="71" t="s">
        <v>433</v>
      </c>
      <c r="E3" s="70" t="s">
        <v>148</v>
      </c>
      <c r="F3" s="71" t="s">
        <v>434</v>
      </c>
      <c r="H3" s="70" t="s">
        <v>148</v>
      </c>
      <c r="I3" s="75" t="s">
        <v>435</v>
      </c>
      <c r="K3" s="70" t="s">
        <v>148</v>
      </c>
      <c r="L3" s="71" t="s">
        <v>422</v>
      </c>
    </row>
    <row r="4" spans="1:14" x14ac:dyDescent="0.25">
      <c r="A4" s="72" t="s">
        <v>171</v>
      </c>
      <c r="B4" s="188">
        <v>2.5835430661314951</v>
      </c>
      <c r="C4" s="197">
        <v>57184</v>
      </c>
      <c r="E4" s="72" t="s">
        <v>179</v>
      </c>
      <c r="F4" s="76">
        <v>3.7350383852569027</v>
      </c>
      <c r="H4" s="72" t="s">
        <v>171</v>
      </c>
      <c r="I4" s="188">
        <v>7.3840545167044622</v>
      </c>
      <c r="K4" s="81" t="s">
        <v>149</v>
      </c>
      <c r="L4" s="82">
        <f>'Op. metric&amp;Add info'!J26</f>
        <v>0.31857024134323403</v>
      </c>
      <c r="M4" t="s">
        <v>421</v>
      </c>
    </row>
    <row r="5" spans="1:14" x14ac:dyDescent="0.25">
      <c r="A5" s="72" t="s">
        <v>152</v>
      </c>
      <c r="B5" s="188">
        <v>2.5413533834586466</v>
      </c>
      <c r="C5" s="197">
        <v>6650</v>
      </c>
      <c r="E5" s="72" t="s">
        <v>160</v>
      </c>
      <c r="F5" s="76">
        <v>3.7397994122154445</v>
      </c>
      <c r="H5" s="72" t="s">
        <v>159</v>
      </c>
      <c r="I5" s="188">
        <v>7.2006218815095702</v>
      </c>
      <c r="K5" s="72" t="s">
        <v>175</v>
      </c>
      <c r="L5" s="79">
        <f>L19</f>
        <v>0.31755693581780536</v>
      </c>
      <c r="M5" t="s">
        <v>420</v>
      </c>
    </row>
    <row r="6" spans="1:14" x14ac:dyDescent="0.25">
      <c r="A6" s="81" t="s">
        <v>149</v>
      </c>
      <c r="B6" s="187">
        <v>2.4423778539082179</v>
      </c>
      <c r="C6" s="196">
        <f>'Op. metric&amp;Add info'!J5</f>
        <v>16967</v>
      </c>
      <c r="E6" s="72" t="s">
        <v>167</v>
      </c>
      <c r="F6" s="76">
        <v>3.8758478131597727</v>
      </c>
      <c r="H6" s="81" t="s">
        <v>149</v>
      </c>
      <c r="I6" s="187">
        <v>6.7393533013918221</v>
      </c>
      <c r="K6" s="72" t="s">
        <v>177</v>
      </c>
      <c r="L6" s="78">
        <v>0.25900000000000001</v>
      </c>
      <c r="M6" t="s">
        <v>429</v>
      </c>
    </row>
    <row r="7" spans="1:14" x14ac:dyDescent="0.25">
      <c r="A7" s="72" t="s">
        <v>179</v>
      </c>
      <c r="B7" s="188">
        <v>2.3070921837606835</v>
      </c>
      <c r="C7" s="197">
        <v>95300</v>
      </c>
      <c r="E7" s="72" t="s">
        <v>162</v>
      </c>
      <c r="F7" s="76">
        <v>3.908830301529401</v>
      </c>
      <c r="H7" s="72" t="s">
        <v>163</v>
      </c>
      <c r="I7" s="188">
        <v>6.6157179922672755</v>
      </c>
      <c r="K7" s="72" t="s">
        <v>178</v>
      </c>
      <c r="L7" s="78">
        <f>N19</f>
        <v>0.20677626742613195</v>
      </c>
      <c r="M7" t="s">
        <v>428</v>
      </c>
    </row>
    <row r="8" spans="1:14" x14ac:dyDescent="0.25">
      <c r="A8" s="72" t="s">
        <v>162</v>
      </c>
      <c r="B8" s="188">
        <v>2.288675314608652</v>
      </c>
      <c r="C8" s="197">
        <v>25217</v>
      </c>
      <c r="E8" s="72" t="s">
        <v>180</v>
      </c>
      <c r="F8" s="76">
        <v>3.9310124570710769</v>
      </c>
      <c r="H8" s="72" t="s">
        <v>174</v>
      </c>
      <c r="I8" s="188">
        <v>6.4974270615765892</v>
      </c>
      <c r="K8" s="72" t="s">
        <v>170</v>
      </c>
      <c r="L8" s="78">
        <v>0.19900000000000001</v>
      </c>
      <c r="M8" t="s">
        <v>429</v>
      </c>
    </row>
    <row r="9" spans="1:14" x14ac:dyDescent="0.25">
      <c r="A9" s="72" t="s">
        <v>163</v>
      </c>
      <c r="B9" s="188">
        <v>2.1775260653517248</v>
      </c>
      <c r="C9" s="197">
        <v>32758</v>
      </c>
      <c r="E9" s="81" t="s">
        <v>149</v>
      </c>
      <c r="F9" s="202">
        <v>4.2969953863331156</v>
      </c>
      <c r="H9" s="72" t="s">
        <v>162</v>
      </c>
      <c r="I9" s="188">
        <v>6.1975056161380531</v>
      </c>
      <c r="K9" s="72" t="s">
        <v>171</v>
      </c>
      <c r="L9" s="78">
        <f>M19</f>
        <v>0.19376209185267759</v>
      </c>
      <c r="M9" t="s">
        <v>428</v>
      </c>
    </row>
    <row r="10" spans="1:14" x14ac:dyDescent="0.25">
      <c r="A10" s="72" t="s">
        <v>160</v>
      </c>
      <c r="B10" s="188">
        <v>1.9931943142009609</v>
      </c>
      <c r="C10" s="197">
        <v>27297</v>
      </c>
      <c r="E10" s="72" t="s">
        <v>163</v>
      </c>
      <c r="F10" s="76">
        <v>4.4381919269155503</v>
      </c>
      <c r="H10" s="72" t="s">
        <v>154</v>
      </c>
      <c r="I10" s="188">
        <v>6.1954109426890405</v>
      </c>
      <c r="K10" s="73" t="s">
        <v>176</v>
      </c>
      <c r="L10" s="80">
        <v>0.155</v>
      </c>
      <c r="M10" t="s">
        <v>429</v>
      </c>
    </row>
    <row r="11" spans="1:14" x14ac:dyDescent="0.25">
      <c r="A11" s="72" t="s">
        <v>180</v>
      </c>
      <c r="B11" s="188">
        <v>1.9697376735915897</v>
      </c>
      <c r="C11" s="197">
        <v>48000</v>
      </c>
      <c r="E11" s="72" t="s">
        <v>158</v>
      </c>
      <c r="F11" s="76">
        <v>4.4881648276807997</v>
      </c>
      <c r="H11" s="72" t="s">
        <v>179</v>
      </c>
      <c r="I11" s="188">
        <v>6.0421305690175862</v>
      </c>
    </row>
    <row r="12" spans="1:14" x14ac:dyDescent="0.25">
      <c r="A12" s="72" t="s">
        <v>167</v>
      </c>
      <c r="B12" s="188">
        <v>1.8207164611734274</v>
      </c>
      <c r="C12" s="197">
        <v>32362</v>
      </c>
      <c r="E12" s="72" t="s">
        <v>170</v>
      </c>
      <c r="F12" s="76">
        <v>4.637718396711203</v>
      </c>
      <c r="H12" s="72" t="s">
        <v>170</v>
      </c>
      <c r="I12" s="188">
        <v>6.0194446483629429</v>
      </c>
    </row>
    <row r="13" spans="1:14" x14ac:dyDescent="0.25">
      <c r="A13" s="72" t="s">
        <v>157</v>
      </c>
      <c r="B13" s="188">
        <v>1.745609591354272</v>
      </c>
      <c r="C13" s="197">
        <v>236880</v>
      </c>
      <c r="E13" s="72" t="s">
        <v>164</v>
      </c>
      <c r="F13" s="76">
        <v>4.7033174411523628</v>
      </c>
      <c r="H13" s="72" t="s">
        <v>158</v>
      </c>
      <c r="I13" s="188">
        <v>5.9519514257368256</v>
      </c>
      <c r="K13" s="181"/>
      <c r="L13" s="182" t="s">
        <v>175</v>
      </c>
      <c r="M13" s="182" t="s">
        <v>171</v>
      </c>
      <c r="N13" s="182" t="s">
        <v>426</v>
      </c>
    </row>
    <row r="14" spans="1:14" x14ac:dyDescent="0.25">
      <c r="A14" s="72" t="s">
        <v>158</v>
      </c>
      <c r="B14" s="188">
        <v>1.4637865980560261</v>
      </c>
      <c r="C14" s="197">
        <v>64786</v>
      </c>
      <c r="E14" s="72" t="s">
        <v>171</v>
      </c>
      <c r="F14" s="76">
        <v>4.8004224437302607</v>
      </c>
      <c r="H14" s="72" t="s">
        <v>180</v>
      </c>
      <c r="I14" s="188">
        <v>5.9007501306626668</v>
      </c>
      <c r="K14" t="s">
        <v>415</v>
      </c>
      <c r="L14" s="179">
        <v>3067.6</v>
      </c>
      <c r="M14" s="179">
        <v>1325.1</v>
      </c>
      <c r="N14" s="179">
        <v>1087.5740000000001</v>
      </c>
    </row>
    <row r="15" spans="1:14" x14ac:dyDescent="0.25">
      <c r="A15" s="72" t="s">
        <v>156</v>
      </c>
      <c r="B15" s="188">
        <v>1.428899258012698</v>
      </c>
      <c r="C15" s="197">
        <v>65365</v>
      </c>
      <c r="E15" s="72" t="s">
        <v>174</v>
      </c>
      <c r="F15" s="76">
        <v>5.4611548029519339</v>
      </c>
      <c r="H15" s="72" t="s">
        <v>160</v>
      </c>
      <c r="I15" s="188">
        <v>5.7327035382951861</v>
      </c>
      <c r="K15" t="s">
        <v>417</v>
      </c>
      <c r="L15" s="179">
        <f>(2902.1+1527.7)/2</f>
        <v>2214.9</v>
      </c>
      <c r="M15" s="179">
        <f>(1018.685+495.479)/2</f>
        <v>757.08199999999999</v>
      </c>
      <c r="N15" s="179">
        <f>(1938.672+86.122-28.849+2236.32)/2</f>
        <v>2116.1325000000002</v>
      </c>
    </row>
    <row r="16" spans="1:14" x14ac:dyDescent="0.25">
      <c r="A16" s="72" t="s">
        <v>155</v>
      </c>
      <c r="B16" s="188">
        <v>1.3452914798206279</v>
      </c>
      <c r="C16" s="197">
        <v>6913</v>
      </c>
      <c r="E16" s="72" t="s">
        <v>181</v>
      </c>
      <c r="F16" s="76">
        <v>5.5672326901084563</v>
      </c>
      <c r="H16" s="72" t="s">
        <v>167</v>
      </c>
      <c r="I16" s="188">
        <v>5.6965642743332001</v>
      </c>
      <c r="K16" t="s">
        <v>418</v>
      </c>
      <c r="L16" s="179">
        <f>(9740.1+9139.8)/2</f>
        <v>9439.9500000000007</v>
      </c>
      <c r="M16" s="179">
        <f>(8496.875+4077.029)/2</f>
        <v>6286.9520000000002</v>
      </c>
      <c r="N16" s="179">
        <f>(4143.027+3883.511)/2</f>
        <v>4013.2690000000002</v>
      </c>
    </row>
    <row r="17" spans="1:14" x14ac:dyDescent="0.25">
      <c r="A17" s="72" t="s">
        <v>159</v>
      </c>
      <c r="B17" s="188">
        <v>1.1464457957474343</v>
      </c>
      <c r="C17" s="197">
        <v>25866</v>
      </c>
      <c r="E17" s="72" t="s">
        <v>154</v>
      </c>
      <c r="F17" s="76">
        <v>5.668218439671735</v>
      </c>
      <c r="H17" s="72" t="s">
        <v>181</v>
      </c>
      <c r="I17" s="188">
        <v>5.6310363473172513</v>
      </c>
      <c r="K17" t="s">
        <v>419</v>
      </c>
      <c r="L17" s="179">
        <f>(1954+2035.7)/2</f>
        <v>1994.85</v>
      </c>
      <c r="M17" s="179">
        <f>(27.695+382.775)/2</f>
        <v>205.23499999999999</v>
      </c>
      <c r="N17" s="179">
        <f>(768163+971309)/2/1000</f>
        <v>869.73599999999999</v>
      </c>
    </row>
    <row r="18" spans="1:14" x14ac:dyDescent="0.25">
      <c r="A18" s="72" t="s">
        <v>174</v>
      </c>
      <c r="B18" s="188">
        <v>1.0362722586246556</v>
      </c>
      <c r="C18" s="197">
        <v>9800</v>
      </c>
      <c r="E18" s="73" t="s">
        <v>159</v>
      </c>
      <c r="F18" s="77">
        <v>6.0541760857621361</v>
      </c>
      <c r="H18" s="73" t="s">
        <v>164</v>
      </c>
      <c r="I18" s="189">
        <v>5.4147981329114216</v>
      </c>
      <c r="K18" t="s">
        <v>416</v>
      </c>
      <c r="L18" s="179">
        <f>L15+L16-L17</f>
        <v>9660</v>
      </c>
      <c r="M18" s="179">
        <f>M15+M16-M17</f>
        <v>6838.7990000000009</v>
      </c>
      <c r="N18" s="179">
        <f>N15+N16-N17</f>
        <v>5259.6655000000001</v>
      </c>
    </row>
    <row r="19" spans="1:14" ht="15.75" thickBot="1" x14ac:dyDescent="0.3">
      <c r="A19" s="72" t="s">
        <v>166</v>
      </c>
      <c r="B19" s="188">
        <v>1.0062720740470099</v>
      </c>
      <c r="C19" s="197">
        <v>65688</v>
      </c>
      <c r="I19" s="199"/>
      <c r="K19" s="184" t="s">
        <v>138</v>
      </c>
      <c r="L19" s="185">
        <f>L14/L18</f>
        <v>0.31755693581780536</v>
      </c>
      <c r="M19" s="185">
        <f>M14/M18</f>
        <v>0.19376209185267759</v>
      </c>
      <c r="N19" s="185">
        <f>N14/N18</f>
        <v>0.20677626742613195</v>
      </c>
    </row>
    <row r="20" spans="1:14" ht="15.75" thickTop="1" x14ac:dyDescent="0.25">
      <c r="A20" s="72" t="s">
        <v>164</v>
      </c>
      <c r="B20" s="188">
        <v>0.71148069175905904</v>
      </c>
      <c r="C20" s="197">
        <v>60635</v>
      </c>
    </row>
    <row r="21" spans="1:14" x14ac:dyDescent="0.25">
      <c r="A21" s="72" t="s">
        <v>154</v>
      </c>
      <c r="B21" s="188">
        <v>0.52719250301730525</v>
      </c>
      <c r="C21" s="197">
        <v>14120</v>
      </c>
    </row>
    <row r="22" spans="1:14" x14ac:dyDescent="0.25">
      <c r="A22" s="72" t="s">
        <v>181</v>
      </c>
      <c r="B22" s="188">
        <v>6.46889408568843E-2</v>
      </c>
      <c r="C22" s="197">
        <v>3212</v>
      </c>
      <c r="K22" s="186" t="s">
        <v>430</v>
      </c>
    </row>
    <row r="23" spans="1:14" x14ac:dyDescent="0.25">
      <c r="A23" s="73" t="s">
        <v>169</v>
      </c>
      <c r="B23" s="189">
        <v>5.6976915159535388E-2</v>
      </c>
      <c r="C23" s="198">
        <v>54408</v>
      </c>
      <c r="K23" s="186" t="s">
        <v>423</v>
      </c>
    </row>
    <row r="24" spans="1:14" x14ac:dyDescent="0.25">
      <c r="B24" s="199"/>
      <c r="C24" s="199"/>
      <c r="K24" s="186" t="s">
        <v>424</v>
      </c>
    </row>
    <row r="25" spans="1:14" x14ac:dyDescent="0.25">
      <c r="B25" s="199"/>
      <c r="C25" s="199"/>
      <c r="K25" s="186" t="s">
        <v>425</v>
      </c>
    </row>
    <row r="27" spans="1:14" x14ac:dyDescent="0.25">
      <c r="A27" s="72" t="s">
        <v>179</v>
      </c>
      <c r="B27" s="183">
        <f t="shared" ref="B27:B42" si="0">VLOOKUP(A27,$H$3:$I$19,2,0)-VLOOKUP(A27,$E$3:$F$19,2,0)</f>
        <v>2.3070921837606835</v>
      </c>
      <c r="C27" s="183"/>
      <c r="D27" s="183">
        <f t="shared" ref="D27" si="1">VLOOKUP(A27,$A$4:$B$24,2,0)</f>
        <v>2.3070921837606835</v>
      </c>
      <c r="E27" s="183">
        <f>B27-D27</f>
        <v>0</v>
      </c>
    </row>
    <row r="28" spans="1:14" x14ac:dyDescent="0.25">
      <c r="A28" s="72" t="s">
        <v>160</v>
      </c>
      <c r="B28" s="183">
        <f t="shared" si="0"/>
        <v>1.9929041260797415</v>
      </c>
      <c r="C28" s="183"/>
      <c r="D28" s="183">
        <f t="shared" ref="D28:D41" si="2">VLOOKUP(A28,$A$4:$B$24,2,0)</f>
        <v>1.9931943142009609</v>
      </c>
      <c r="E28" s="183">
        <f t="shared" ref="E28:E41" si="3">B28-D28</f>
        <v>-2.9018812121939241E-4</v>
      </c>
    </row>
    <row r="29" spans="1:14" x14ac:dyDescent="0.25">
      <c r="A29" s="72" t="s">
        <v>167</v>
      </c>
      <c r="B29" s="183">
        <f t="shared" si="0"/>
        <v>1.8207164611734274</v>
      </c>
      <c r="C29" s="183"/>
      <c r="D29" s="183">
        <f t="shared" si="2"/>
        <v>1.8207164611734274</v>
      </c>
      <c r="E29" s="183">
        <f t="shared" si="3"/>
        <v>0</v>
      </c>
    </row>
    <row r="30" spans="1:14" x14ac:dyDescent="0.25">
      <c r="A30" s="72" t="s">
        <v>162</v>
      </c>
      <c r="B30" s="183">
        <f t="shared" si="0"/>
        <v>2.288675314608652</v>
      </c>
      <c r="C30" s="183"/>
      <c r="D30" s="183">
        <f t="shared" si="2"/>
        <v>2.288675314608652</v>
      </c>
      <c r="E30" s="183">
        <f t="shared" si="3"/>
        <v>0</v>
      </c>
    </row>
    <row r="31" spans="1:14" x14ac:dyDescent="0.25">
      <c r="A31" s="72" t="s">
        <v>180</v>
      </c>
      <c r="B31" s="183">
        <f t="shared" si="0"/>
        <v>1.9697376735915899</v>
      </c>
      <c r="C31" s="183"/>
      <c r="D31" s="183">
        <f t="shared" si="2"/>
        <v>1.9697376735915897</v>
      </c>
      <c r="E31" s="183">
        <f t="shared" si="3"/>
        <v>0</v>
      </c>
    </row>
    <row r="32" spans="1:14" x14ac:dyDescent="0.25">
      <c r="A32" s="81" t="s">
        <v>149</v>
      </c>
      <c r="B32" s="183">
        <f t="shared" si="0"/>
        <v>2.4423579150587065</v>
      </c>
      <c r="C32" s="183"/>
      <c r="D32" s="183">
        <f t="shared" si="2"/>
        <v>2.4423778539082179</v>
      </c>
      <c r="E32" s="183">
        <f t="shared" si="3"/>
        <v>-1.9938849511458301E-5</v>
      </c>
    </row>
    <row r="33" spans="1:5" x14ac:dyDescent="0.25">
      <c r="A33" s="72" t="s">
        <v>163</v>
      </c>
      <c r="B33" s="183">
        <f t="shared" si="0"/>
        <v>2.1775260653517252</v>
      </c>
      <c r="C33" s="183"/>
      <c r="D33" s="183">
        <f t="shared" si="2"/>
        <v>2.1775260653517248</v>
      </c>
      <c r="E33" s="183">
        <f t="shared" si="3"/>
        <v>0</v>
      </c>
    </row>
    <row r="34" spans="1:5" x14ac:dyDescent="0.25">
      <c r="A34" s="72" t="s">
        <v>158</v>
      </c>
      <c r="B34" s="183">
        <f t="shared" si="0"/>
        <v>1.4637865980560258</v>
      </c>
      <c r="C34" s="183"/>
      <c r="D34" s="183">
        <f t="shared" si="2"/>
        <v>1.4637865980560261</v>
      </c>
      <c r="E34" s="183">
        <f t="shared" si="3"/>
        <v>0</v>
      </c>
    </row>
    <row r="35" spans="1:5" x14ac:dyDescent="0.25">
      <c r="A35" s="72" t="s">
        <v>170</v>
      </c>
      <c r="B35" s="183">
        <f t="shared" si="0"/>
        <v>1.3817262516517399</v>
      </c>
      <c r="C35" s="183"/>
      <c r="D35" s="183" t="e">
        <f t="shared" si="2"/>
        <v>#N/A</v>
      </c>
      <c r="E35" s="183" t="e">
        <f t="shared" si="3"/>
        <v>#N/A</v>
      </c>
    </row>
    <row r="36" spans="1:5" x14ac:dyDescent="0.25">
      <c r="A36" s="72" t="s">
        <v>164</v>
      </c>
      <c r="B36" s="183">
        <f t="shared" si="0"/>
        <v>0.71148069175905881</v>
      </c>
      <c r="C36" s="183"/>
      <c r="D36" s="183">
        <f t="shared" si="2"/>
        <v>0.71148069175905904</v>
      </c>
      <c r="E36" s="183">
        <f t="shared" si="3"/>
        <v>0</v>
      </c>
    </row>
    <row r="37" spans="1:5" x14ac:dyDescent="0.25">
      <c r="A37" s="72" t="s">
        <v>171</v>
      </c>
      <c r="B37" s="183">
        <f t="shared" si="0"/>
        <v>2.5836320729742015</v>
      </c>
      <c r="C37" s="183"/>
      <c r="D37" s="183">
        <f t="shared" si="2"/>
        <v>2.5835430661314951</v>
      </c>
      <c r="E37" s="183">
        <f t="shared" si="3"/>
        <v>8.9006842706407241E-5</v>
      </c>
    </row>
    <row r="38" spans="1:5" x14ac:dyDescent="0.25">
      <c r="A38" s="72" t="s">
        <v>174</v>
      </c>
      <c r="B38" s="183">
        <f t="shared" si="0"/>
        <v>1.0362722586246553</v>
      </c>
      <c r="C38" s="183"/>
      <c r="D38" s="183">
        <f t="shared" si="2"/>
        <v>1.0362722586246556</v>
      </c>
      <c r="E38" s="183">
        <f t="shared" si="3"/>
        <v>0</v>
      </c>
    </row>
    <row r="39" spans="1:5" x14ac:dyDescent="0.25">
      <c r="A39" s="72" t="s">
        <v>181</v>
      </c>
      <c r="B39" s="183">
        <f t="shared" si="0"/>
        <v>6.3803657208794995E-2</v>
      </c>
      <c r="C39" s="183"/>
      <c r="D39" s="183">
        <f t="shared" si="2"/>
        <v>6.46889408568843E-2</v>
      </c>
      <c r="E39" s="183">
        <f t="shared" si="3"/>
        <v>-8.8528364808930504E-4</v>
      </c>
    </row>
    <row r="40" spans="1:5" x14ac:dyDescent="0.25">
      <c r="A40" s="72" t="s">
        <v>154</v>
      </c>
      <c r="B40" s="183">
        <f t="shared" si="0"/>
        <v>0.52719250301730547</v>
      </c>
      <c r="C40" s="183"/>
      <c r="D40" s="183">
        <f t="shared" si="2"/>
        <v>0.52719250301730525</v>
      </c>
      <c r="E40" s="183">
        <f t="shared" si="3"/>
        <v>0</v>
      </c>
    </row>
    <row r="41" spans="1:5" x14ac:dyDescent="0.25">
      <c r="A41" s="73" t="s">
        <v>159</v>
      </c>
      <c r="B41" s="183">
        <f t="shared" si="0"/>
        <v>1.1464457957474341</v>
      </c>
      <c r="C41" s="183"/>
      <c r="D41" s="183">
        <f t="shared" si="2"/>
        <v>1.1464457957474343</v>
      </c>
      <c r="E41" s="183">
        <f t="shared" si="3"/>
        <v>0</v>
      </c>
    </row>
    <row r="42" spans="1:5" x14ac:dyDescent="0.25">
      <c r="B42" s="183" t="e">
        <f t="shared" si="0"/>
        <v>#N/A</v>
      </c>
      <c r="C42" s="183"/>
      <c r="D42" s="183" t="e">
        <f>VLOOKUP(A42,$A$4:$B$25,2,0)</f>
        <v>#N/A</v>
      </c>
      <c r="E42" s="183" t="e">
        <f t="shared" ref="E42" si="4">B42-D42</f>
        <v>#N/A</v>
      </c>
    </row>
  </sheetData>
  <autoFilter ref="E3:F18" xr:uid="{00000000-0009-0000-0000-000007000000}">
    <sortState xmlns:xlrd2="http://schemas.microsoft.com/office/spreadsheetml/2017/richdata2" ref="E4:F18">
      <sortCondition ref="F27:F42"/>
    </sortState>
  </autoFilter>
  <pageMargins left="0.7" right="0.7" top="0.75" bottom="0.75" header="0.3" footer="0.3"/>
  <pageSetup paperSize="9" orientation="portrait" horizontalDpi="300" verticalDpi="0" copies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dsFormulaCache xmlns="urn:fdsformulacache" version="2" timestamp="1630513021"><![CDATA[{"BASIC SHARES (M)^PROPER(CONVERT_DATE(FE_TIMESERIES_PERIOD(,2016,2026,CY,''),\"MMM 'YY\"))":null,"BASIC SHARES (M)^FE_TIMESERIES_PERIOD(,2016,2026,CY,'')":null,"BASIC SHARES (M)^FE_TIMESERIES(EPS,MEAN,2016,2026,CY,'BKRACTMED=1,WIN=0,CURRENCY=USD,UNITS=AUTO,CALC=CALA,DATE=NOW')":null,"BASIC SHARES (M)^FE_TIMESERIES(EAG,MEAN,2016,2026,CY,'BKRACTMED=1,WIN=0,CURRENCY=USD,UNITS=AUTO,CALC=CALA,DATE=NOW')":null,"BASIC SHARES (M)^FE_TIMESERIES(EBG,MEAN,2016,2026,CY,'BKRACTMED=1,WIN=0,CURRENCY=USD,UNITS=AUTO,CALC=CALA,DATE=NOW')":null,"SALMOCAM-CL^FE_TIMESERIES(EAG,MEAN,2016,2026,FY,'BKRACTMED=1,WIN=0,CURRENCY=USD,UNITS=AUTO,DATE=NOW')":null,"MOWI-NO^PROPER(CONVERT_DATE(FE_TIMESERIES_PERIOD(,2016,2025,FY,'DISPLAY=YYYYMMDD'),\"MMM 'YY\"))":["Dec '16","Dec '17","Dec '18","Dec '19","Dec '20","Dec '21","Dec '22","Dec '23","Dec '24","Dec '25"],"MOWI-NO^FE_TIMESERIES_SHARP(EPS,MEAN,2016,2025,FY,'BKRACTMED=1,WIN=0,UNITS=AUTO,DATE=NOW')":[null,null,null,null,null,null,null,null,null,null],"MOWI-NO^PROPER(CONVERT_DATE(FE_TIMESERIES_PERIOD(,2016,2026,CY,''),\"MMM 'YY\"))":["Dec '16","Dec '17","Dec '18","Dec '19","Dec '20","Dec '21","Dec '22","Dec '23","Dec '24","Dec '25","Dec '26"],"MOWI-NO^FE_TIMESERIES_PERIOD(,2016,2026,CY,'')":["2016","2017","2018","2019","2020","2021","2022","2023","2024","2025","2026"],"MOWI-NO^FE_TIMESERIES(SALES,MEAN,2016,2026,CY,'BKRACTMED=1,WIN=0,CURRENCY=USD,UNITS=AUTO,CALC=CALA,DATE=NOW')":[3711.2986,4533.335,4305.6167,4505.834,4556.9863,4943.2246,5369.091,5529.6904,5843.229,null,null],"MOWI-NO^FE_TIMESERIES(COS,MEAN,2016,2026,CY,'BKRACTMED=1,WIN=0,CURRENCY=USD,UNITS=AUTO,CALC=CALA,DATE=NOW')":[1884.1978,2094.2173,2662.7212,2784.345,2387.443,2654.5369,2605.2532,2744.1528,null,null,null],"MOWI-NO^FE_TIMESERIES(ORGANICGROWTH,MEAN,2016,2026,CY,'BKRACTMED=1,WIN=0,CURRENCY=USD,UNITS=AUTO,CALC=CALA,DATE=NOW')":[null,null,null,-4.2,null,76.6,39.8,6.1,null,null,null],"MOWI-NO^FE_TIMESERIES(GROSSINCOME,MEAN,2016,2026,CY,'BKRACTMED=1,WIN=0,CURRENCY=USD,UNITS=AUTO,CALC=CALA,DATE=NOW')":[887.11664,null,1640.0737,1722.0338,1494.2727,1748.2465,2118.3176,2059.295,null,null,null],"MOWI-NO^FE_TIMESERIES(SGA,MEAN,2016,2026,CY,'BKRACTMED=1,WIN=0,CURRENCY=USD,UNITS=AUTO,CALC=CALA,DATE=NOW')":[465.234,593.0307,null,null,677.4521,682.3001,748.4053,766.11206,null,null,null],"MOWI-NO^FE_TIMESERIES(G_A_EXP,MEAN,2016,2026,CY,'BKRACTMED=1,WIN=0,CURRENCY=USD,UNITS=AUTO,CALC=CALA,DATE=NOW')":[null,null,null,614.5062,677.4521,null,null,null,null,null,null],"MOWI-NO^FE_TIMESERIES(EBITDA,MEAN,2016,2026,CY,'BKRACTMED=1,WIN=0,CURRENCY=USD,UNITS=AUTO,CALC=CALA,DATE=NOW')":[891.34607,1169.933,1022.6475,1098.1575,808.3373,1074.7854,1375.9491,1387.1222,1561.6759,null,null],"MOWI-NO^FE_TIMESERIES(EBITDA_ADJ,MEAN,2016,2026,CY,'BKRACTMED=1,WIN=0,CURRENCY=USD,UNITS=AUTO,CALC=CALA,DATE=NOW')":[891.1346,1169.933,1022.6475,1098.2664,819.2444,1101.3196,1364.7411,1400.8007,null,null,null],"MOWI-NO^FE_TIMESERIES(EBITDA_REP,MEAN,2016,2026,CY,'BKRACTMED=1,WIN=0,CURRENCY=USD,UNITS=AUTO,CALC=CALA,DATE=NOW')":[926.2386,1080.6062,1022.98615,1094.9978,806.2771,1136.8455,1356.3295,1377.5852,null,null,null],"MOWI-NO^FE_TIMESERIES(DEPR_AMORT,MEAN,2016,2026,CY,'BKRACTMED=1,WIN=0,CURRENCY=USD,UNITS=AUTO,CALC=CALA,DATE=NOW')":[150.1437,186.0975,172.69875,312.70084,409.6222,441.15384,435.50735,434.61807,null,null,null],"MOWI-NO^FE_TIMESERIES(EBIT,MEAN,2016,2026,CY,'BKRACTMED=1,WIN=0,CURRENCY=USD,UNITS=AUTO,CALC=CALA,DATE=NOW')":[740.145,983.83545,849.723,785.56555,409.6222,691.47595,975.19116,1001.2961,1090.2042,null,null],"MOWI-NO^FE_TIMESERIES(EBITA,MEAN,2016,2026,CY,'BKRACTMED=1,WIN=0,CURRENCY=USD,UNITS=AUTO,CALC=CALA,DATE=NOW')":[738.13605,973.9103,849.9487,785.51105,403.98688,704.49255,966.31635,982.84265,null,null,null],"MOWI-NO^FE_TIMESERIES(EBIT_ADJ,MEAN,2016,2026,CY,'BKRACTMED=1,WIN=0,CURRENCY=USD,UNITS=AUTO,CALC=CALA,DATE=NOW')":[740.145,983.83545,849.723,785.56555,409.6222,686.1554,955.6414,996.6933,null,null,null],"MOWI-NO^FE_TIMESERIES(EBITR,MEAN,2016,2026,CY,'BKRACTMED=1,WIN=0,CURRENCY=USD,UNITS=AUTO,CALC=CALA,DATE=NOW')":[1047.8339,601.7153,1044.5453,672.2524,222.9896,856.25824,982.57043,1017.7446,null,null,null],"MOWI-NO^FE_TIMESERIES(INTEXP,MEAN,2016,2026,CY,'BKRACTMED=1,WIN=0,CURRENCY=USD,UNITS=AUTO,CALC=CALA,DATE=NOW')":[50.96427,58.31055,null,76.2685,76.3497,57.84205,82.6315,null,null,null,null],"MOWI-NO^FE_TIMESERIES(PTP,MEAN,2016,2026,CY,'BKRACTMED=1,WIN=0,CURRENCY=USD,UNITS=AUTO,CALC=CALA,DATE=NOW')":[802.5286,642.6567,826.245,661.3569,146.6399,916.40027,968.85394,979.94214,1051.3262,null,null],"MOWI-NO^FE_TIMESERIES(PTPA,MEAN,2016,2026,CY,'BKRACTMED=1,WIN=0,CURRENCY=USD,UNITS=AUTO,CALC=CALA,DATE=NOW')":[736.4443,974.2825,835.44434,761.59546,358.35883,776.5571,1004.4941,1036.8286,null,null,null],"MOWI-NO^FE_TIMESERIES(PTPBG,MEAN,2016,2026,CY,'BKRACTMED=1,WIN=0,CURRENCY=USD,UNITS=AUTO,CALC=CALA,DATE=NOW')":[802.5286,642.6567,826.245,661.3569,146.6399,906.7946,932.2101,979.94214,1051.3262,null,null],"MOWI-NO^FE_TIMESERIES(TAX_EXPENSE,MEAN,2016,2026,CY,'BKRACTMED=1,WIN=0,CURRENCY=USD,UNITS=AUTO,CALC=CALA,DATE=NOW')":[232.617,74.439,186.24374,142.73105,1.2119,187.7063,211.49237,219.47939,null,null,null],"MOWI-NO^FE_TIMESERIES(NETPROFIT,MEAN,2016,2026,CY,'BKRACTMED=1,WIN=0,CURRENCY=USD,UNITS=AUTO,CALC=CALA,DATE=NOW')":[570.2236,567.90753,639.2111,519.71533,144.3373,722.8113,763.9885,755.22424,809.5211,null,null],"MOWI-NO^FE_TIMESERIES(NETBG,MEAN,2016,2026,CY,'BKRACTMED=1,WIN=0,CURRENCY=USD,UNITS=AUTO,CALC=CALA,DATE=NOW')":[534.7653,737.65576,648.63617,575.2824,307.33783,545.25146,732.4521,755.80457,809.5211,null,null],"MOWI-NO^FE_TIMESERIES(BFNG,MEAN,2016,2026,CY,'BKRACTMED=1,WIN=0,CURRENCY=USD,UNITS=AUTO,CALC=CALA,DATE=NOW')":[570.1231,567.90753,639.2111,519.71533,144.3373,722.8113,763.9885,755.22424,809.5211,null,null],"MOWI-NO^FE_TIMESERIES(CURRENTASSETS,MEAN,2016,2026,CY,'BKRACTMED=1,WIN=0,CURRENCY=USD,UNITS=AUTO,CALC=CALA,DATE=NOW')":[2700.472,2683.526,2920.0762,2865.5166,2967.943,3089.7097,3391.669,3625.457,null,null,null],"MOWI-NO^FE_TIMESERIES(CURRENTLIABILITIES,MEAN,2016,2026,CY,'BKRACTMED=1,WIN=0,CURRENCY=USD,UNITS=AUTO,CALC=CALA,DATE=NOW')":[891.34607,992.52,788.9963,845.4908,872.568,1075.1538,1060.9884,907.17584,null,null,null],"MOWI-NO^FE_TIMESERIES(TOTASSET,MEAN,2016,2026,CY,'BKRACTMED=1,WIN=0,CURRENCY=USD,UNITS=AUTO,CALC=CALA,DATE=NOW')":[5078.981,5372.0146,5807.419,6362.972,7084.7676,7208.671,7501.254,7770.115,null,null,null],"MOWI-NO^FE_TIMESERIES(DEBT_ST,MEAN,2016,2026,CY,'BKRACTMED=1,WIN=0,CURRENCY=USD,UNITS=AUTO,CALC=CALA,DATE=NOW')":[null,161.2845,0.0,69.186424,0.0,45.152214,207.46408,45.152214,null,null,null],"MOWI-NO^FE_TIMESERIES(DEBT_LT,MEAN,2016,2026,CY,'BKRACTMED=1,WIN=0,CURRENCY=USD,UNITS=AUTO,CALC=CALA,DATE=NOW')":[null,959.02246,1290.1613,1597.2803,1897.8354,1739.7865,1886.1624,2034.899,null,null,null],"MOWI-NO^FE_TIMESERIES(TOTALDEBT,MEAN,2016,2026,CY,'BKRACTMED=1,WIN=0,CURRENCY=USD,UNITS=AUTO,CALC=CALA,DATE=NOW')":[1051.0059,1120.307,1290.1613,1597.2803,2220.8066,2029.7838,2059.295,2403.3962,null,null,null],"MOWI-NO^FE_TIMESERIES(INTANG,MEAN,2016,2026,CY,'BKRACTMED=1,WIN=0,CURRENCY=USD,UNITS=AUTO,CALC=CALA,DATE=NOW')":[1091.1852,795.25665,912.03,948.45325,1072.5315,1092.3097,1092.3097,1092.3097,null,null,null],"MOWI-NO^FE_TIMESERIES(TOTGW,MEAN,2016,2026,CY,'BKRACTMED=1,WIN=0,CURRENCY=USD,UNITS=AUTO,CALC=CALA,DATE=NOW')":[283.3698,317.6064,326.20874,346.4769,379.3247,278.5862,278.5862,278.5862,null,null,null],"MOWI-NO^FE_TIMESERIES(NETDEBT,MEAN,2016,2026,CY,'BKRACTMED=1,WIN=0,CURRENCY=USD,UNITS=AUTO,CALC=CALA,DATE=NOW')":[941.0415,1032.2208,1170.5138,1597.8251,1766.9502,1869.4254,1722.9078,1767.471,1494.5564,null,null],"MOWI-NO^FE_TIMESERIES(WKCAP,MEAN,2016,2026,CY,'BKRACTMED=1,WIN=0,CURRENCY=USD,UNITS=AUTO,CALC=CALA,DATE=NOW')":[null,1883.3066,2012.5613,2017.8466,2151.1226,2301.8774,2444.712,2409.2983,null,null,null],"MOWI-NO^FE_TIMESERIES(MINTEREST,MEAN,2016,2026,CY,'BKRACTMED=1,WIN=0,CURRENCY=USD,UNITS=AUTO,CALC=CALA,DATE=NOW')":[1.05735,1.24065,2.2575,0.0,2.4238,2.3609,2.6981714,2.951125,null,null,null],"MOWI-NO^FE_TIMESERIES(SHEQUITY,MEAN,2016,2026,CY,'BKRACTMED=1,WIN=0,CURRENCY=USD,UNITS=AUTO,CALC=CALA,DATE=NOW')":[2180.2556,2870.864,3247.4138,3150.9785,3347.2678,3719.1553,3951.999,4233.431,null,null,null],"MOWI-NO^FE_TIMESERIES(CAPEX,MEAN,2016,2026,CY,'BKRACTMED=1,WIN=0,CURRENCY=USD,UNITS=AUTO,CALC=CALA,DATE=NOW')":[223.73526,316.36575,390.5475,319.23816,382.9604,296.18967,310.75345,325.5951,null,null,null],"MOWI-NO^FE_TIMESERIES(FCF,MEAN,2016,2026,CY,'BKRACTMED=1,WIN=0,CURRENCY=USD,UNITS=AUTO,CALC=CALA,DATE=NOW')":[592.116,483.2332,36.12,323.59634,135.00566,549.9042,572.1304,690.5042,null,null,null],"MOWI-NO^FE_TIMESERIES(CFO,MEAN,2016,2026,CY,'BKRACTMED=1,WIN=0,CURRENCY=USD,UNITS=AUTO,CALC=CALA,DATE=NOW')":[732.7435,784.0908,671.60626,826.69604,609.5857,864.3761,947.00757,1086.5059,null,null,null],"MOWI-NO^FE_TIMESERIES(CFI,MEAN,2016,2026,CY,'BKRACTMED=1,WIN=0,CURRENCY=USD,UNITS=AUTO,CALC=CALA,DATE=NOW')":[-140.62755,-294.03406,-636.615,-335.96274,-344.1796,-185.2126,-283.60312,-289.21024,null,null,null],"MOWI-NO^FE_TIMESERIES(CFF,MEAN,2016,2026,CY,'BKRACTMED=1,WIN=0,CURRENCY=USD,UNITS=AUTO,CALC=CALA,DATE=NOW')":[-548.76465,-524.7949,-0.112875,-465.23785,-288.4322,-677.19464,-394.38834,-574.48566,null,null,null],"MOWI-NO^FE_TIMESERIES(EPS,MEAN,2016,2026,CY,'BKRACTMED=1,WIN=0,CURRENCY=USD,UNITS=AUTO,CALC=CALA,DATE=NOW')":[1.1373808,1.5011865,1.2529125,1.1440275,0.521117,1.0027758,1.4345421,1.4362109,1.5659366,null,null],"MOWI-NO^FE_TIMESERIES(NETDIV,MEAN,2016,2026,CY,'BKRACTMED=1,WIN=0,CURRENCY=USD,UNITS=AUTO,CALC=CALA,DATE=NOW')":[1.141938,1.612845,1.21905,1.154923,0.302975,0.6295892,1.0573565,1.065844,1.2176412,null,null],"MOWI-NO^FE_TIMESERIES(CFPS,MEAN,2016,2026,CY,'BKRACTMED=1,WIN=0,CURRENCY=USD,UNITS=AUTO,CALC=CALA,DATE=NOW')":[1.607172,1.9043977,1.2178422,1.30746,0.860449,1.7050333,1.8630242,1.8875809,null,null,null],"MOWI-NO^FE_TIMESERIES(BVPS,MEAN,2016,2026,CY,'BKRACTMED=1,WIN=0,CURRENCY=USD,UNITS=AUTO,CALC=CALA,DATE=NOW')":[4.842663,5.855868,6.2971044,6.094691,6.471546,7.1877866,7.66632,8.1908,8.312094,null,null],"MOWI-NO^FE_TIMESERIES_VALUATION(ROA,MEAN,2016,2026,CY,'BKRACTMED=1,WIN=0,UNITS=AUTO,CALC=CALA,DATE=NOW')":[11.227125,10.571594,11.006803,8.167808,2.0372906,10.02697,10.184811,9.719603,null,null,null],"MOWI-NO^FE_TIMESERIES_VALUATION(ROE,MEAN,2016,2026,CY,'BKRACTMED=1,WIN=0,UNITS=AUTO,CALC=CALA,DATE=NOW')":[23.486681,25.635595,19.896645,18.770887,8.052434,13.951107,18.712265,17.534441,18.839254,null,null],"MOWI-NO^FE_TIMESERIES_VALUATION(NETINC_ROA,MEAN,2016,2026,CY,'BKRACTMED=1,WIN=0,UNITS=AUTO,CALC=CALA,DATE=NOW')":[0.11524798,0.105267525,0.11972197,0.0880007,0.02054697,0.102837235,0.10387388,0.09890722,null,null,null],"MOWI-NO^FE_TIMESERIES_VALUATION(NETINC_SHEQUITY,MEAN,2016,2026,CY,'BKRACTMED=1,WIN=0,UNITS=AUTO,CALC=CALA,DATE=NOW')":[0.26180464,0.21857071,0.2185171,0.16771035,0.042475633,0.20785679,0.19918475,0.18452893,null,null,null],"BAKKA-NO^PROPER(CONVERT_DATE(FE_TIMESERIES_PERIOD(,2016,2026,CY,''),\"MMM 'YY\"))":["Dec '16","Dec '17","Dec '18","Dec '19","Dec '20","Dec '21","Dec '22","Dec '23","Dec '24","Dec '25","Dec '26"],"BAKKA-NO^FE_TIMESERIES_PERIOD(,2016,2026,CY,'')":["2016","2017","2018","2019","2020","2021","2022","2023","2024","2025","2026"],"BAKKA-NO^FE_TIMESERIES(EPS,MEAN,2016,2026,CY,'BKRACTMED=1,WIN=0,CURRENCY=USD,UNITS=AUTO,CALC=CALA,DATE=NOW')":[2.5003996,3.481888,2.493752,2.789805,1.0119805,2.7664979,3.8956172,4.337246,4.476637,4.342639,null],"BAKKA-NO^FE_TIMESERIES(EAG,MEAN,2016,2026,CY,'BKRACTMED=1,WIN=0,CURRENCY=USD,UNITS=AUTO,CALC=CALA,DATE=NOW')":[3.9302244,1.7399249,2.9947355,2.275508,1.2780335,3.7859466,3.9991918,4.3845487,4.476637,null,null],"BAKKA-NO^FE_TIMESERIES(EBG,MEAN,2016,2026,CY,'BKRACTMED=1,WIN=0,CURRENCY=USD,UNITS=AUTO,CALC=CALA,DATE=NOW')":[2.493989,3.481888,2.493752,2.789805,1.0119805,2.7664979,3.8956172,4.337246,4.476637,4.342639,null],"BAKKA-NO^FE_TIMESERIES(SALES,MEAN,2016,2026,CY,'BKRACTMED=1,WIN=0,CURRENCY=USD,UNITS=AUTO,CALC=CALA,DATE=NOW')":[457.31662,624.7308,482.61038,660.9826,766.4827,944.5084,1050.633,1118.8837,1182.8467,null,null],"BAKKA-NO^FE_TIMESERIES(COS,MEAN,2016,2026,CY,'BKRACTMED=1,WIN=0,CURRENCY=USD,UNITS=AUTO,CALC=CALA,DATE=NOW')":[122.9315,184.18787,274.04126,312.0948,581.7256,513.663,496.73138,487.55127,null,null,null],"BAKKA-NO^FE_TIMESERIES(GROSSINCOME,MEAN,2016,2026,CY,'BKRACTMED=1,WIN=0,CURRENCY=USD,UNITS=AUTO,CALC=CALA,DATE=NOW')":[259.7838,440.62576,193.07454,458.1786,307.10345,482.55115,554.45764,595.64905,null,null,null],"BAKKA-NO^FE_TIMESERIES(SGA,MEAN,2016,2026,CY,'BKRACTMED=1,WIN=0,CURRENCY=USD,UNITS=AUTO,CALC=CALA,DATE=NOW')":[46.83105,66.28443,53.775284,75.16649,99.23938,null,null,null,null,null,null],"BAKKA-NO^FE_TIMESERIES(EBITDA,MEAN,2016,2026,CY,'BKRACTMED=1,WIN=0,CURRENCY=USD,UNITS=AUTO,CALC=CALA,DATE=NOW')":[185.32532,258.675,193.37836,239.5657,174.32181,315.76337,407.39648,445.32147,442.0994,null,null],"BAKKA-NO^FE_TIMESERIES(EBITDA_ADJ,MEAN,2016,2026,CY,'BKRACTMED=1,WIN=0,CURRENCY=USD,UNITS=AUTO,CALC=CALA,DATE=NOW')":[185.3403,258.675,193.22644,239.5657,174.31308,315.966,400.52527,445.31216,null,null,null],"BAKKA-NO^FE_TIMESERIES(EBITDA_REP,MEAN,2016,2026,CY,'BKRACTMED=1,WIN=0,CURRENCY=USD,UNITS=AUTO,CALC=CALA,DATE=NOW')":[185.3553,258.7131,193.53026,239.5657,174.32181,313.8638,403.75946,452.6695,null,null,null],"BAKKA-NO^FE_TIMESERIES(DEPR_AMORT,MEAN,2016,2026,CY,'BKRACTMED=1,WIN=0,CURRENCY=USD,UNITS=AUTO,CALC=CALA,DATE=NOW')":[18.98942,30.490839,30.229609,45.422245,72.96053,82.2665,84.504654,85.17663,null,null,null],"BAKKA-NO^FE_TIMESERIES(EBIT,MEAN,2016,2026,CY,'BKRACTMED=1,WIN=0,CURRENCY=USD,UNITS=AUTO,CALC=CALA,DATE=NOW')":[166.33589,228.34987,163.28728,194.14346,101.361275,229.37857,313.28104,344.80185,351.62106,345.14343,null],"BAKKA-NO^FE_TIMESERIES(EBITA,MEAN,2016,2026,CY,'BKRACTMED=1,WIN=0,CURRENCY=USD,UNITS=AUTO,CALC=CALA,DATE=NOW')":[166.33589,228.26701,163.30064,194.14346,101.361275,231.94995,332.30948,368.18335,null,null,null],"BAKKA-NO^FE_TIMESERIES(EBIT_ADJ,MEAN,2016,2026,CY,'BKRACTMED=1,WIN=0,CURRENCY=USD,UNITS=AUTO,CALC=CALA,DATE=NOW')":[166.33589,228.34987,163.28728,194.14346,101.361275,229.19528,306.00775,344.80185,351.62106,345.14343,null],"BAKKA-NO^FE_TIMESERIES(EBITR,MEAN,2016,2026,CY,'BKRACTMED=1,WIN=0,CURRENCY=USD,UNITS=AUTO,CALC=CALA,DATE=NOW')":[239.00969,107.54649,179.17499,149.30731,112.786865,269.3599,294.34207,337.53183,null,null,null],"BAKKA-NO^FE_TIMESERIES(INTEXP,MEAN,2016,2026,CY,'BKRACTMED=1,WIN=0,CURRENCY=USD,UNITS=AUTO,CALC=CALA,DATE=NOW')":[3.7122173,null,null,5.421365,10.609473,8.571632,13.333651,null,null,null,null],"BAKKA-NO^FE_TIMESERIES(PTP,MEAN,2016,2026,CY,'BKRACTMED=1,WIN=0,CURRENCY=USD,UNITS=AUTO,CALC=CALA,DATE=NOW')":[233.1558,103.40372,178.03569,143.88596,102.17739,278.2064,294.79276,330.14117,322.88016,null,null],"BAKKA-NO^FE_TIMESERIES(PTPA,MEAN,2016,2026,CY,'BKRACTMED=1,WIN=0,CURRENCY=USD,UNITS=AUTO,CALC=CALA,DATE=NOW')":[162.4809,103.73514,159.50296,111.55205,93.80407,273.19418,305.99677,339.9287,null,null,null],"BAKKA-NO^FE_TIMESERIES(PTPBG,MEAN,2016,2026,CY,'BKRACTMED=1,WIN=0,CURRENCY=USD,UNITS=AUTO,CALC=CALA,DATE=NOW')":[234.29802,123.28905,178.0448,143.87027,102.17739,291.33704,297.63678,326.59506,null,null,null],"BAKKA-NO^FE_TIMESERIES(TAX_EXPENSE,MEAN,2016,2026,CY,'BKRACTMED=1,WIN=0,CURRENCY=USD,UNITS=AUTO,CALC=CALA,DATE=NOW')":[41.976612,18.55964,32.204407,26.374207,26.605295,57.781796,59.99878,70.97629,null,56.465645,null],"BAKKA-NO^FE_TIMESERIES(NETPROFIT,MEAN,2016,2026,CY,'BKRACTMED=1,WIN=0,CURRENCY=USD,UNITS=AUTO,CALC=CALA,DATE=NOW')":[191.1792,84.74481,145.83128,117.494896,59.753044,179.8892,232.0326,259.2125,264.76172,257.1568,null],"BAKKA-NO^FE_TIMESERIES(NETBG,MEAN,2016,2026,CY,'BKRACTMED=1,WIN=0,CURRENCY=USD,UNITS=AUTO,CALC=CALA,DATE=NOW')":[121.843254,169.84143,120.54626,143.99583,59.753044,179.8892,232.0326,259.2125,264.76172,257.1568,null],"BAKKA-NO^FE_TIMESERIES(BFNG,MEAN,2016,2026,CY,'BKRACTMED=1,WIN=0,CURRENCY=USD,UNITS=AUTO,CALC=CALA,DATE=NOW')":[191.1792,84.74481,145.853,117.494896,75.5468,223.76654,236.41388,259.21606,264.76172,null,null],"BAKKA-NO^FE_TIMESERIES(CURRENTASSETS,MEAN,2016,2026,CY,'BKRACTMED=1,WIN=0,CURRENCY=USD,UNITS=AUTO,CALC=CALA,DATE=NOW')":[407.0589,353.29602,365.48962,654.8129,650.2791,749.3829,882.7591,1086.5337,null,null,null],"BAKKA-NO^FE_TIMESERIES(CURRENTLIABILITIES,MEAN,2016,2026,CY,'BKRACTMED=1,WIN=0,CURRENCY=USD,UNITS=AUTO,CALC=CALA,DATE=NOW')":[56.39715,143.09152,57.57297,135.53412,125.68146,134.09048,152.70204,171.85594,null,null,null],"BAKKA-NO^FE_TIMESERIES(TOTASSET,MEAN,2016,2026,CY,'BKRACTMED=1,WIN=0,CURRENCY=USD,UNITS=AUTO,CALC=CALA,DATE=NOW')":[773.569,854.4063,881.5197,1919.6027,2151.7644,2324.2087,2479.6091,2663.6506,null,null,null],"BAKKA-NO^FE_TIMESERIES(DEBT_ST,MEAN,2016,2026,CY,'BKRACTMED=1,WIN=0,CURRENCY=USD,UNITS=AUTO,CALC=CALA,DATE=NOW')":[null,62.63879,0.0,15.824524,21.38217,10.3573885,22.262434,10.3573885,null,null,null],"BAKKA-NO^FE_TIMESERIES(DEBT_LT,MEAN,2016,2026,CY,'BKRACTMED=1,WIN=0,CURRENCY=USD,UNITS=AUTO,CALC=CALA,DATE=NOW')":[null,24.35953,123.34895,357.66354,383.98132,379.75507,369.9453,370.58023,null,null,null],"BAKKA-NO^FE_TIMESERIES(TOTALDEBT,MEAN,2016,2026,CY,'BKRACTMED=1,WIN=0,CURRENCY=USD,UNITS=AUTO,CALC=CALA,DATE=NOW')":[124.21651,115.1692,123.34895,390.0452,426.9905,444.9312,444.9312,null,null,null,null],"BAKKA-NO^FE_TIMESERIES(INTANG,MEAN,2016,2026,CY,'BKRACTMED=1,WIN=0,CURRENCY=USD,UNITS=AUTO,CALC=CALA,DATE=NOW')":[53.827152,62.473076,59.243958,644.11676,733.35944,628.38794,628.38794,600.0143,null,null,null],"BAKKA-NO^FE_TIMESERIES(TOTGW,MEAN,2016,2026,CY,'BKRACTMED=1,WIN=0,CURRENCY=USD,UNITS=AUTO,CALC=CALA,DATE=NOW')":[0.0,0.8285554,0.37976894,0.0,0.0,0.26455656,0.26455656,0.26455656,null,null,null],"BAKKA-NO^FE_TIMESERIES(NETDEBT,MEAN,2016,2026,CY,'BKRACTMED=1,WIN=0,CURRENCY=USD,UNITS=AUTO,CALC=CALA,DATE=NOW')":[87.594055,35.69831,75.19425,198.0996,350.7655,282.2809,198.9506,87.84335,4.7948623,null,null],"BAKKA-NO^FE_TIMESERIES(WKCAP,MEAN,2016,2026,CY,'BKRACTMED=1,WIN=0,CURRENCY=USD,UNITS=AUTO,CALC=CALA,DATE=NOW')":[null,232.16122,259.91388,343.15775,469.75485,535.84607,578.90265,599.7497,null,null,null],"BAKKA-NO^FE_TIMESERIES(MINTEREST,MEAN,2016,2026,CY,'BKRACTMED=1,WIN=0,CURRENCY=USD,UNITS=AUTO,CALC=CALA,DATE=NOW')":[0.0,0.0,0.0,24.615927,0.0,0.0,0.0,0.0,null,null,null],"BAKKA-NO^FE_TIMESERIES(SHEQUITY,MEAN,2016,2026,CY,'BKRACTMED=1,WIN=0,CURRENCY=USD,UNITS=AUTO,CALC=CALA,DATE=NOW')":[506.71768,600.86835,619.3272,1232.7012,1424.7706,1568.7675,1718.8503,1880.013,null,null,null],"BAKKA-NO^FE_TIMESERIES(CAPEX,MEAN,2016,2026,CY,'BKRACTMED=1,WIN=0,CURRENCY=USD,UNITS=AUTO,CALC=CALA,DATE=NOW')":[98.060005,105.39225,78.53622,102.859406,133.35292,171.9406,121.71718,113.63332,null,null,null],"BAKKA-NO^FE_TIMESERIES(FCF,MEAN,2016,2026,CY,'BKRACTMED=1,WIN=0,CURRENCY=USD,UNITS=AUTO,CALC=CALA,DATE=NOW')":[15.705535,135.22025,57.269157,-522.35583,-55.822155,81.957504,165.25471,251.83138,null,null,null],"BAKKA-NO^FE_TIMESERIES(CFO,MEAN,2016,2026,CY,'BKRACTMED=1,WIN=0,CURRENCY=USD,UNITS=AUTO,CALC=CALA,DATE=NOW')":[121.360954,241.02676,138.67644,150.4795,77.367546,234.577,290.51483,356.0799,null,null,null],"BAKKA-NO^FE_TIMESERIES(CFI,MEAN,2016,2026,CY,'BKRACTMED=1,WIN=0,CURRENCY=USD,UNITS=AUTO,CALC=CALA,DATE=NOW')":[-105.65542,-105.39225,-80.662926,-673.7145,-133.43454,-164.39545,-131.74916,-103.177055,null,null,null],"BAKKA-NO^FE_TIMESERIES(CFF,MEAN,2016,2026,CY,'BKRACTMED=1,WIN=0,CURRENCY=USD,UNITS=AUTO,CALC=CALA,DATE=NOW')":[-0.49972156,-123.95189,-56.965343,668.3517,-54.35315,-31.11185,-76.45684,-115.39957,null,null,null],"BAKKA-NO^FE_TIMESERIES(NETDIV,MEAN,2016,2026,CY,'BKRACTMED=1,WIN=0,CURRENCY=USD,UNITS=AUTO,CALC=CALA,DATE=NOW')":[1.2403688,1.7374475,1.2514266,1.2014916,0.5957627,1.3882484,1.9450977,2.041829,2.0144866,null,null],"BAKKA-NO^FE_TIMESERIES(CFPS,MEAN,2016,2026,CY,'BKRACTMED=1,WIN=0,CURRENCY=USD,UNITS=AUTO,CALC=CALA,DATE=NOW')":[1.7108496,5.060112,1.9887781,2.6824527,1.3182203,3.429619,4.896688,5.244446,null,null,null],"BAKKA-NO^FE_TIMESERIES(BVPS,MEAN,2016,2026,CY,'BKRACTMED=1,WIN=0,CURRENCY=USD,UNITS=AUTO,CALC=CALA,DATE=NOW')":[10.4077015,12.350629,12.686195,21.700111,24.091665,26.47427,28.541908,30.515621,31.892279,null,null],"BAKKA-NO^PROPER(CONVERT_DATE(FE_TIMESERIES_PERIOD(,2016,2026,FY,'DISPLAY=YYYYMMDD'),\"MMM 'YY\"))":["Dec '16","Dec '17","Dec '18","Dec '19","Dec '20","Dec '21","Dec '22","Dec '23","Dec '24","Dec '25","Dec '26"],"BAKKA-NO^FE_TIMESERIES_VALUATION(ROA,MEAN,2016,2026,FY,'BKRACTMED=1,WIN=0,UNITS=AUTO,DATE=NOW')":[24.713917,9.918561,16.543167,6.1207924,2.7769325,7.739805,9.357628,9.731476,null,null,null],"BAKKA-NO^FE_TIMESERIES_VALUATION(ROE,MEAN,2016,2026,FY,'BKRACTMED=1,WIN=0,UNITS=AUTO,DATE=NOW')":[24.024515,28.19199,19.657207,12.856178,4.200542,10.44976,13.648764,14.213199,14.036741,null,null],"SALM-NO^PROPER(CONVERT_DATE(FE_TIMESERIES_PERIOD(,2016,2026,CY,''),\"MMM 'YY\"))":["Dec '16","Dec '17","Dec '18","Dec '19","Dec '20","Dec '21","Dec '22","Dec '23","Dec '24","Dec '25","Dec '26"],"SALM-NO^FE_TIMESERIES_PERIOD(,2016,2026,CY,'')":["2016","2017","2018","2019","2020","2021","2022","2023","2024","2025","2026"],"SALM-NO^FE_TIMESERIES(EPS,MEAN,2016,2026,CY,'BKRACTMED=1,WIN=0,CURRENCY=USD,UNITS=AUTO,CALC=CALA,DATE=NOW')":[2.2318463,3.0062342,2.922043,2.3443778,2.0707414,2.7979393,3.5987859,3.9077473,4.0616474,null,null],"SALM-NO^FE_TIMESERIES(EAG,MEAN,2016,2026,CY,'BKRACTMED=1,WIN=0,CURRENCY=USD,UNITS=AUTO,CALC=CALA,DATE=NOW')":[2.7875648,2.58587,3.644789,2.3419237,2.0707414,3.1877277,3.5987678,3.900855,4.0616474,null,null],"SALM-NO^FE_TIMESERIES(EBG,MEAN,2016,2026,CY,'BKRACTMED=1,WIN=0,CURRENCY=USD,UNITS=AUTO,CALC=CALA,DATE=NOW')":[2.2264626,3.0062342,2.922043,2.2570562,2.2589908,2.5980465,3.5576785,3.9077473,4.0616474,null,null],"SALM-NO^FE_TIMESERIES(SALES,MEAN,2016,2026,CY,'BKRACTMED=1,WIN=0,CURRENCY=USD,UNITS=AUTO,CALC=CALA,DATE=NOW')":[1080.3308,1386.1187,1303.4802,1302.2949,1528.7614,1665.0215,1924.7788,2056.7534,2058.1504,null,null],"SALM-NO^FE_TIMESERIES(COS,MEAN,2016,2026,CY,'BKRACTMED=1,WIN=0,CURRENCY=USD,UNITS=AUTO,CALC=CALA,DATE=NOW')":[478.6715,605.20636,529.0053,899.4408,885.8369,1005.93317,1134.245,1370.3643,null,null,null],"SALM-NO^FE_TIMESERIES(LCUR_GRTH,MEAN,2016,2026,CY,'BKRACTMED=1,WIN=0,CURRENCY=USD,UNITS=AUTO,CALC=CALA,DATE=NOW')":[33.2,null,null,null,null,null,null,null,null,null,null],"SALM-NO^FE_TIMESERIES(GROSSINCOME,MEAN,2016,2026,CY,'BKRACTMED=1,WIN=0,CURRENCY=USD,UNITS=AUTO,CALC=CALA,DATE=NOW')":[467.72464,781.0148,779.435,402.8967,833.7428,738.2816,1032.6982,1054.5239,null,null,null],"SALM-NO^FE_TIMESERIES(SGA,MEAN,2016,2026,CY,'BKRACTMED=1,WIN=0,CURRENCY=USD,UNITS=AUTO,CALC=CALA,DATE=NOW')":[103.00829,119.04228,119.96632,null,156.28238,null,null,null,null,null,null],"SALM-NO^FE_TIMESERIES(RD_EXP,MEAN,2016,2026,CY,'BKRACTMED=1,WIN=0,CURRENCY=USD,UNITS=AUTO,CALC=CALA,DATE=NOW')":[0.0,null,null,null,null,null,null,null,null,null,null],"SALM-NO^FE_TIMESERIES(EBITDA,MEAN,2016,2026,CY,'BKRACTMED=1,WIN=0,CURRENCY=USD,UNITS=AUTO,CALC=CALA,DATE=NOW')":[333.78995,458.8702,455.52597,402.8967,452.27173,502.77573,650.29645,684.76086,810.4918,null,null],"SALM-NO^FE_TIMESERIES(EBITDA_ADJ,MEAN,2016,2026,CY,'BKRACTMED=1,WIN=0,CURRENCY=USD,UNITS=AUTO,CALC=CALA,DATE=NOW')":[333.78995,458.8702,455.52597,402.8967,452.27173,498.9184,637.5038,684.75134,null,null,null],"SALM-NO^FE_TIMESERIES(EBITDA_REP,MEAN,2016,2026,CY,'BKRACTMED=1,WIN=0,CURRENCY=USD,UNITS=AUTO,CALC=CALA,DATE=NOW')":[333.78995,458.8574,455.52597,402.8967,452.27173,495.11343,634.5878,665.76874,null,null,null],"SALM-NO^FE_TIMESERIES(DEPR_AMORT,MEAN,2016,2026,CY,'BKRACTMED=1,WIN=0,CURRENCY=USD,UNITS=AUTO,CALC=CALA,DATE=NOW')":[42.830395,53.69076,56.29189,76.407776,96.137344,96.907845,104.5832,107.772804,null,null,null],"SALM-NO^FE_TIMESERIES(EBIT,MEAN,2016,2026,CY,'BKRACTMED=1,WIN=0,CURRENCY=USD,UNITS=AUTO,CALC=CALA,DATE=NOW')":[290.95953,405.17944,399.23407,326.48892,356.1344,405.43738,544.3623,577.0183,713.942,null,null],"SALM-NO^FE_TIMESERIES(EBITA,MEAN,2016,2026,CY,'BKRACTMED=1,WIN=0,CURRENCY=USD,UNITS=AUTO,CALC=CALA,DATE=NOW')":[290.95953,405.17944,399.23407,326.48892,356.0752,416.29572,546.25415,555.061,null,null,null],"SALM-NO^FE_TIMESERIES(EBIT_ADJ,MEAN,2016,2026,CY,'BKRACTMED=1,WIN=0,CURRENCY=USD,UNITS=AUTO,CALC=CALA,DATE=NOW')":[290.95953,405.17944,399.23407,326.48892,356.1344,402.17984,533.4299,577.0245,null,null,null],"SALM-NO^FE_TIMESERIES(EBITR,MEAN,2016,2026,CY,'BKRACTMED=1,WIN=0,CURRENCY=USD,UNITS=AUTO,CALC=CALA,DATE=NOW')":[369.2028,357.76755,496.82205,322.97714,337.25027,456.35303,543.3347,584.39923,null,null,null],"SALM-NO^FE_TIMESERIES(INTEXP,MEAN,2016,2026,CY,'BKRACTMED=1,WIN=0,CURRENCY=USD,UNITS=AUTO,CALC=CALA,DATE=NOW')":[12.561987,null,86.28347,14.366364,35.28193,22.285147,22.51489,null,null,null,null],"SALM-NO^FE_TIMESERIES(PTP,MEAN,2016,2026,CY,'BKRACTMED=1,WIN=0,CURRENCY=USD,UNITS=AUTO,CALC=CALA,DATE=NOW')":[399.8301,365.96854,513.66345,336.108,304.51385,483.77643,553.0981,591.7036,699.5412,null,null],"SALM-NO^FE_TIMESERIES(PTPA,MEAN,2016,2026,CY,'BKRACTMED=1,WIN=0,CURRENCY=USD,UNITS=AUTO,CALC=CALA,DATE=NOW')":[321.58685,413.3804,416.0755,339.57828,315.11026,457.6732,566.29425,562.2405,null,null,null],"SALM-NO^FE_TIMESERIES(PTPBG,MEAN,2016,2026,CY,'BKRACTMED=1,WIN=0,CURRENCY=USD,UNITS=AUTO,CALC=CALA,DATE=NOW')":[399.8301,365.96854,513.66345,336.0665,304.51385,483.51935,566.29425,562.2405,null,null,null],"SALM-NO^FE_TIMESERIES(TAX_EXPENSE,MEAN,2016,2026,CY,'BKRACTMED=1,WIN=0,CURRENCY=USD,UNITS=AUTO,CALC=CALA,DATE=NOW')":[82.66984,71.50225,100.7025,65.340355,66.6568,106.097595,119.40933,126.336105,null,null,null],"SALM-NO^FE_TIMESERIES(NETPROFIT,MEAN,2016,2026,CY,'BKRACTMED=1,WIN=0,CURRENCY=USD,UNITS=AUTO,CALC=CALA,DATE=NOW')":[315.48532,294.44064,411.6229,270.77936,237.77417,369.13998,420.4986,451.01636,478.4621,null,null],"SALM-NO^FE_TIMESERIES(NETBG,MEAN,2016,2026,CY,'BKRACTMED=1,WIN=0,CURRENCY=USD,UNITS=AUTO,CALC=CALA,DATE=NOW')":[242.9249,327.44955,335.65387,257.45547,255.61641,318.89825,419.3929,451.01636,478.4621,null,null],"SALM-NO^FE_TIMESERIES(BFNG,MEAN,2016,2026,CY,'BKRACTMED=1,WIN=0,CURRENCY=USD,UNITS=AUTO,CALC=CALA,DATE=NOW')":[315.48532,291.3909,411.59982,264.76675,234.30518,367.06396,422.57593,449.67392,478.4621,null,null],"SALM-NO^FE_TIMESERIES(CURRENTASSETS,MEAN,2016,2026,CY,'BKRACTMED=1,WIN=0,CURRENCY=USD,UNITS=AUTO,CALC=CALA,DATE=NOW')":[764.8455,681.19354,798.8142,797.06714,937.45746,1209.5723,1263.1025,1454.1632,null,null,null],"SALM-NO^FE_TIMESERIES(CURRENTLIABILITIES,MEAN,2016,2026,CY,'BKRACTMED=1,WIN=0,CURRENCY=USD,UNITS=AUTO,CALC=CALA,DATE=NOW')":[333.31137,352.1294,397.1577,345.64407,560.7222,589.781,557.76044,720.5148,null,null,null],"SALM-NO^FE_TIMESERIES(TOTASSET,MEAN,2016,2026,CY,'BKRACTMED=1,WIN=0,CURRENCY=USD,UNITS=AUTO,CALC=CALA,DATE=NOW')":[1605.6613,1656.3407,1745.9713,1914.0254,2604.4695,2983.5483,3151.7974,3362.3232,null,null,null],"SALM-NO^FE_TIMESERIES(DEBT_ST,MEAN,2016,2026,CY,'BKRACTMED=1,WIN=0,CURRENCY=USD,UNITS=AUTO,CALC=CALA,DATE=NOW')":[null,31.266218,86.28347,55.549942,180.02072,125.76174,95.89505,165.0709,null,null,null],"SALM-NO^FE_TIMESERIES(DEBT_LT,MEAN,2016,2026,CY,'BKRACTMED=1,WIN=0,CURRENCY=USD,UNITS=AUTO,CALC=CALA,DATE=NOW')":[null,148.13011,117.54392,318.88007,435.45953,500.9563,552.41895,520.94403,null,null,null],"SALM-NO^FE_TIMESERIES(TOTALDEBT,MEAN,2016,2026,CY,'BKRACTMED=1,WIN=0,CURRENCY=USD,UNITS=AUTO,CALC=CALA,DATE=NOW')":[363.3405,179.39633,203.8274,333.40607,661.0034,562.7574,562.7574,null,null,null,null],"SALM-NO^FE_TIMESERIES(INTANG,MEAN,2016,2026,CY,'BKRACTMED=1,WIN=0,CURRENCY=USD,UNITS=AUTO,CALC=CALA,DATE=NOW')":[348.26614,374.8102,392.659,504.63184,808.1693,764.9894,764.9894,758.4225,null,null,null],"SALM-NO^FE_TIMESERIES(TOTGW,MEAN,2016,2026,CY,'BKRACTMED=1,WIN=0,CURRENCY=USD,UNITS=AUTO,CALC=CALA,DATE=NOW')":[53.478172,48.308872,35.413136,47.568626,52.922897,75.06878,75.06878,37.53439,null,null,null],"SALM-NO^FE_TIMESERIES(NETDEBT,MEAN,2016,2026,CY,'BKRACTMED=1,WIN=0,CURRENCY=USD,UNITS=AUTO,CALC=CALA,DATE=NOW')":[282.82416,156.71552,176.25821,317.486,670.3567,471.79236,389.35593,476.63846,291.518,null,null],"SALM-NO^FE_TIMESERIES(WKCAP,MEAN,2016,2026,CY,'BKRACTMED=1,WIN=0,CURRENCY=USD,UNITS=AUTO,CALC=CALA,DATE=NOW')":[null,337.5214,460.2554,482.49698,540.003,677.1985,703.47546,795.5261,null,null,null],"SALM-NO^FE_TIMESERIES(MINTEREST,MEAN,2016,2026,CY,'BKRACTMED=1,WIN=0,CURRENCY=USD,UNITS=AUTO,CALC=CALA,DATE=NOW')":[9.810313,11.276341,10.612405,77.89761,134.49756,137.4155,146.17448,155.85243,null,null,null],"SALM-NO^FE_TIMESERIES(SHEQUITY,MEAN,2016,2026,CY,'BKRACTMED=1,WIN=0,CURRENCY=USD,UNITS=AUTO,CALC=CALA,DATE=NOW')":[799.3013,982.57935,1049.0132,1036.5066,1166.3164,1576.8081,1715.5925,1848.3577,null,null,null],"SALM-NO^FE_TIMESERIES(CAPEX,MEAN,2016,2026,CY,'BKRACTMED=1,WIN=0,CURRENCY=USD,UNITS=AUTO,CALC=CALA,DATE=NOW')":[151.10275,97.1303,96.76898,137.17216,443.74722,203.76358,154.6367,135.91643,null,null,null],"SALM-NO^FE_TIMESERIES(FCF,MEAN,2016,2026,CY,'BKRACTMED=1,WIN=0,CURRENCY=USD,UNITS=AUTO,CALC=CALA,DATE=NOW')":[171.08229,323.16968,212.30579,169.62952,-69.865326,133.25139,319.55063,307.3972,null,null,null],"SALM-NO^FE_TIMESERIES(CFO,MEAN,2016,2026,CY,'BKRACTMED=1,WIN=0,CURRENCY=USD,UNITS=AUTO,CALC=CALA,DATE=NOW')":[323.74036,420.23593,308.7979,307.22736,375.5513,335.37997,476.25885,440.76343,null,null,null],"SALM-NO^FE_TIMESERIES(CFI,MEAN,2016,2026,CY,'BKRACTMED=1,WIN=0,CURRENCY=USD,UNITS=AUTO,CALC=CALA,DATE=NOW')":[-151.10275,-97.1303,-96.78052,-143.13155,-443.74722,-260.7975,-159.55705,-143.70473,null,null,null],"SALM-NO^FE_TIMESERIES(CFF,MEAN,2016,2026,CY,'BKRACTMED=1,WIN=0,CURRENCY=USD,UNITS=AUTO,CALC=CALA,DATE=NOW')":[null,-348.09296,-217.43895,-171.43861,66.47921,37.371655,-252.9479,-246.4002,null,null,null],"SALM-NO^FE_TIMESERIES(NETDIV,MEAN,2016,2026,CY,'BKRACTMED=1,WIN=0,CURRENCY=USD,UNITS=AUTO,CALC=CALA,DATE=NOW')":[1.4356556,2.4346645,2.6531012,2.2347677,2.367915,2.4369252,2.6449254,3.0297132,3.216413,null,null],"SALM-NO^FE_TIMESERIES(CFPS,MEAN,2016,2026,CY,'BKRACTMED=1,WIN=0,CURRENCY=USD,UNITS=AUTO,CALC=CALA,DATE=NOW')":[2.7995286,3.7122228,2.7223127,2.725541,3.1019683,3.3599017,4.6952314,3.9299486,null,null,null],"SALM-NO^FE_TIMESERIES(BVPS,MEAN,2016,2026,CY,'BKRACTMED=1,WIN=0,CURRENCY=USD,UNITS=AUTO,CALC=CALA,DATE=NOW')":[7.0466766,8.672505,9.308925,8.555967,10.29451,13.650252,14.97456,15.891006,16.886759,null,null],"SALM-NO^PROPER(CONVERT_DATE(FE_TIMESERIES_PERIOD(,2016,2026,FY,'DISPLAY=YYYYMMDD'),\"MMM 'YY\"))":["Dec '16","Dec '17","Dec '18","Dec '19","Dec '20","Dec '21","Dec '22","Dec '23","Dec '24","Dec '25","Dec '26"],"SALM-NO^FE_TIMESERIES_VALUATION(ROA,MEAN,2016,2026,FY,'BKRACTMED=1,WIN=0,UNITS=AUTO,DATE=NOW')":[19.648312,17.776575,23.57558,14.147115,9.129466,12.372515,13.341549,13.413831,null,null,null],"SALM-NO^FE_TIMESERIES_VALUATION(ROE,MEAN,2016,2026,FY,'BKRACTMED=1,WIN=0,UNITS=AUTO,DATE=NOW')":[31.672327,34.663963,31.389696,27.400497,20.11501,20.497343,24.032665,24.590935,24.052261,null,null],"GSF-NO^PROPER(CONVERT_DATE(FE_TIMESERIES_PERIOD(,2016,2026,CY,''),\"MMM 'YY\"))":["Dec '16","Dec '17","Dec '18","Dec '19","Dec '20","Dec '21","Dec '22","Dec '23","Dec '24","Dec '25","Dec '26"],"GSF-NO^FE_TIMESERIES_PERIOD(,2016,2026,CY,'')":["2016","2017","2018","2019","2020","2021","2022","2023","2024","2025","2026"],"GSF-NO^FE_TIMESERIES(EPS,MEAN,2016,2026,CY,'BKRACTMED=1,WIN=0,CURRENCY=USD,UNITS=AUTO,CALC=CALA,DATE=NOW')":[0.8729891,0.7244274,0.78684574,0.7758283,-0.12416705,0.27144504,0.84641874,0.93103665,1.412118,null,null],"GSF-NO^FE_TIMESERIES(EAG,MEAN,2016,2026,CY,'BKRACTMED=1,WIN=0,CURRENCY=USD,UNITS=AUTO,CALC=CALA,DATE=NOW')":[1.2751662,0.636857,0.98240006,0.6016613,-0.52327543,0.57261825,0.85100454,0.94462985,1.3891239,null,null],"GSF-NO^FE_TIMESERIES(EBG,MEAN,2016,2026,CY,'BKRACTMED=1,WIN=0,CURRENCY=USD,UNITS=AUTO,CALC=CALA,DATE=NOW')":[0.8729891,0.7244274,0.78684574,0.7758283,-0.12416705,0.27144504,0.84641874,0.93103665,1.412118,null,null],"GSF-NO^FE_TIMESERIES(SALES,MEAN,2016,2026,CY,'BKRACTMED=1,WIN=0,CURRENCY=USD,UNITS=AUTO,CALC=CALA,DATE=NOW')":[788.1201,901.851,873.86163,896.767,701.7212,594.25775,728.39923,763.1131,879.93835,null,null],"GSF-NO^FE_TIMESERIES(NETSALES,MEAN,2016,2026,CY,'BKRACTMED=1,WIN=0,CURRENCY=USD,UNITS=AUTO,CALC=CALA,DATE=NOW')":[null,899.993,873.86163,896.98303,702.1942,564.48047,689.69086,null,null,null,null],"GSF-NO^FE_TIMESERIES(TOTALREV,MEAN,2016,2026,CY,'BKRACTMED=1,WIN=0,CURRENCY=USD,UNITS=AUTO,CALC=CALA,DATE=NOW')":[795.20276,901.851,873.86163,896.98303,702.1942,565.2271,669.3011,714.216,null,null,null],"GSF-NO^FE_TIMESERIES(COS,MEAN,2016,2026,CY,'BKRACTMED=1,WIN=0,CURRENCY=USD,UNITS=AUTO,CALC=CALA,DATE=NOW')":[485.984,644.161,689.8786,451.73206,364.10507,288.96024,313.08334,324.4748,null,null,null],"GSF-NO^FE_TIMESERIES(GROSSINCOME,MEAN,2016,2026,CY,'BKRACTMED=1,WIN=0,CURRENCY=USD,UNITS=AUTO,CALC=CALA,DATE=NOW')":[278.333,385.57397,154.36063,303.53113,211.67525,319.68848,431.63113,404.2342,null,null,null],"GSF-NO^FE_TIMESERIES(SGA,MEAN,2016,2026,CY,'BKRACTMED=1,WIN=0,CURRENCY=USD,UNITS=AUTO,CALC=CALA,DATE=NOW')":[null,null,62.60052,65.999115,71.18911,76.73442,90.86366,95.45854,null,null,null],"GSF-NO^FE_TIMESERIES(RD_EXP,MEAN,2016,2026,CY,'BKRACTMED=1,WIN=0,CURRENCY=USD,UNITS=AUTO,CALC=CALA,DATE=NOW')":[0.0,null,null,null,null,0.0,0.0,0.0,null,null,null],"GSF-NO^FE_TIMESERIES(EBITDA,MEAN,2016,2026,CY,'BKRACTMED=1,WIN=0,CURRENCY=USD,UNITS=AUTO,CALC=CALA,DATE=NOW')":[161.59329,141.46683,154.41501,161.81125,59.836693,100.21043,185.60233,207.90276,262.76218,null,null],"GSF-NO^FE_TIMESERIES(EBITDA_ADJ,MEAN,2016,2026,CY,'BKRACTMED=1,WIN=0,CURRENCY=USD,UNITS=AUTO,CALC=CALA,DATE=NOW')":[161.57283,141.46683,154.38782,161.81125,59.836693,98.43611,186.5152,211.4332,null,null,null],"GSF-NO^FE_TIMESERIES(EBITDA_REP,MEAN,2016,2026,CY,'BKRACTMED=1,WIN=0,CURRENCY=USD,UNITS=AUTO,CALC=CALA,DATE=NOW')":[161.59329,141.46683,154.38782,161.81125,59.646774,97.28587,181.95248,203.17966,null,null,null],"GSF-NO^FE_TIMESERIES(DEPR_AMORT,MEAN,2016,2026,CY,'BKRACTMED=1,WIN=0,CURRENCY=USD,UNITS=AUTO,CALC=CALA,DATE=NOW')":[21.072151,25.692118,27.308176,44.395477,55.816044,42.67819,45.753475,53.572422,null,null,null],"GSF-NO^FE_TIMESERIES(EBIT,MEAN,2016,2026,CY,'BKRACTMED=1,WIN=0,CURRENCY=USD,UNITS=AUTO,CALC=CALA,DATE=NOW')":[202.65388,104.04987,156.78017,93.65177,4.1389017,57.379333,139.5659,154.31123,217.23293,null,null],"GSF-NO^FE_TIMESERIES(EBITA,MEAN,2016,2026,CY,'BKRACTMED=1,WIN=0,CURRENCY=USD,UNITS=AUTO,CALC=CALA,DATE=NOW')":[140.52115,115.198074,127.16816,117.41577,4.1110525,59.61851,136.2955,149.3909,null,null,null],"GSF-NO^FE_TIMESERIES(EBIT_ADJ,MEAN,2016,2026,CY,'BKRACTMED=1,WIN=0,CURRENCY=USD,UNITS=AUTO,CALC=CALA,DATE=NOW')":[140.64156,115.838776,127.16816,117.52379,4.1389017,57.379333,139.5659,154.31123,217.23293,null,null],"GSF-NO^FE_TIMESERIES(EBITR,MEAN,2016,2026,CY,'BKRACTMED=1,WIN=0,CURRENCY=USD,UNITS=AUTO,CALC=CALA,DATE=NOW')":[202.65388,104.04987,156.78017,93.65177,-53.687466,83.36968,139.4827,156.13387,null,null,null],"GSF-NO^FE_TIMESERIES(INTEXP,MEAN,2016,2026,CY,'BKRACTMED=1,WIN=0,CURRENCY=USD,UNITS=AUTO,CALC=CALA,DATE=NOW')":[9.283788,null,null,2.8084729,27.908022,8.041032,8.041032,null,null,null,null],"GSF-NO^FE_TIMESERIES(PTP,MEAN,2016,2026,CY,'BKRACTMED=1,WIN=0,CURRENCY=USD,UNITS=AUTO,CALC=CALA,DATE=NOW')":[187.96358,102.25591,147.765,90.8433,-81.59549,89.46963,126.79536,140.45003,210.1477,null,null],"GSF-NO^FE_TIMESERIES(PTPA,MEAN,2016,2026,CY,'BKRACTMED=1,WIN=0,CURRENCY=USD,UNITS=AUTO,CALC=CALA,DATE=NOW')":[125.833855,113.82352,118.14258,114.6073,-23.79277,77.44541,137.51634,143.87704,null,null,null],"GSF-NO^FE_TIMESERIES(PTPBG,MEAN,2016,2026,CY,'BKRACTMED=1,WIN=0,CURRENCY=USD,UNITS=AUTO,CALC=CALA,DATE=NOW')":[187.96358,102.25591,147.765,90.8433,-81.59549,89.46963,126.79536,140.45003,210.1477,null,null],"GSF-NO^FE_TIMESERIES(TAX_EXPENSE,MEAN,2016,2026,CY,'BKRACTMED=1,WIN=0,CURRENCY=USD,UNITS=AUTO,CALC=CALA,DATE=NOW')":[41.301414,27.29387,35.292347,20.955528,-13.835756,21.233248,31.164743,35.31545,null,null,null],"GSF-NO^FE_TIMESERIES(NETPROFIT,MEAN,2016,2026,CY,'BKRACTMED=1,WIN=0,CURRENCY=USD,UNITS=AUTO,CALC=CALA,DATE=NOW')":[142.32733,71.109886,109.69556,67.18732,-62.260906,69.40338,96.43265,106.83086,157.61078,null,null],"GSF-NO^FE_TIMESERIES(NETBG,MEAN,2016,2026,CY,'BKRACTMED=1,WIN=0,CURRENCY=USD,UNITS=AUTO,CALC=CALA,DATE=NOW')":[96.26962,80.06522,87.47874,85.39918,-14.013138,34.527122,95.74112,105.38101,160.2197,null,null],"GSF-NO^FE_TIMESERIES(BFNG,MEAN,2016,2026,CY,'BKRACTMED=1,WIN=0,CURRENCY=USD,UNITS=AUTO,CALC=CALA,DATE=NOW')":[142.32733,71.109886,109.69556,67.18732,-62.260906,69.40338,96.43265,106.83086,157.61078,null,null],"GSF-NO^FE_TIMESERIES(CURRENTASSETS,MEAN,2016,2026,CY,'BKRACTMED=1,WIN=0,CURRENCY=USD,UNITS=AUTO,CALC=CALA,DATE=NOW')":[488.75348,521.78705,528.4595,500.34027,619.8892,703.2917,744.7374,759.8488,null,null,null],"GSF-NO^FE_TIMESERIES(CURRENTLIABILITIES,MEAN,2016,2026,CY,'BKRACTMED=1,WIN=0,CURRENCY=USD,UNITS=AUTO,CALC=CALA,DATE=NOW')":[140.76196,183.36868,194.39719,184.60309,172.88783,226.43547,215.49966,280.34485,null,null,null],"GSF-NO^FE_TIMESERIES(TOTASSET,MEAN,2016,2026,CY,'BKRACTMED=1,WIN=0,CURRENCY=USD,UNITS=AUTO,CALC=CALA,DATE=NOW')":[814.46875,916.58716,943.7521,965.1425,1258.9355,1327.6565,1397.6627,1506.8894,null,null,null],"GSF-NO^FE_TIMESERIES(DEBT_ST,MEAN,2016,2026,CY,'BKRACTMED=1,WIN=0,CURRENCY=USD,UNITS=AUTO,CALC=CALA,DATE=NOW')":[null,52.217148,58.839863,19.443274,30.509617,72.48416,63.29441,63.29441,null,null,null],"GSF-NO^FE_TIMESERIES(DEBT_LT,MEAN,2016,2026,CY,'BKRACTMED=1,WIN=0,CURRENCY=USD,UNITS=AUTO,CALC=CALA,DATE=NOW')":[null,178.62749,184.09875,224.40779,462.1379,386.77365,380.58972,374.1952,null,null,null],"GSF-NO^FE_TIMESERIES(TOTALDEBT,MEAN,2016,2026,CY,'BKRACTMED=1,WIN=0,CURRENCY=USD,UNITS=AUTO,CALC=CALA,DATE=NOW')":[null,null,242.93863,237.64001,483.48282,430.3101,447.5409,363.45465,null,null,null],"GSF-NO^FE_TIMESERIES(INTANG,MEAN,2016,2026,CY,'BKRACTMED=1,WIN=0,CURRENCY=USD,UNITS=AUTO,CALC=CALA,DATE=NOW')":[127.75744,138.13518,131.39166,129.24376,183.76723,238.2826,238.2826,234.72922,null,null,null],"GSF-NO^FE_TIMESERIES(TOTGW,MEAN,2016,2026,CY,'BKRACTMED=1,WIN=0,CURRENCY=USD,UNITS=AUTO,CALC=CALA,DATE=NOW')":[13.12494,13.967286,12.612675,11.882001,65.985916,72.25442,72.25442,72.25442,null,null,null],"GSF-NO^FE_TIMESERIES(NETDEBT,MEAN,2016,2026,CY,'BKRACTMED=1,WIN=0,CURRENCY=USD,UNITS=AUTO,CALC=CALA,DATE=NOW')":[109.34158,165.8455,196.55847,239.36832,455.9444,315.08548,279.42596,215.21248,85.58595,null,null],"GSF-NO^FE_TIMESERIES(WKCAP,MEAN,2016,2026,CY,'BKRACTMED=1,WIN=0,CURRENCY=USD,UNITS=AUTO,CALC=CALA,DATE=NOW')":[null,405.94827,406.7877,335.99057,215.10463,249.53046,261.82175,283.1209,null,null,null],"GSF-NO^FE_TIMESERIES(MINTEREST,MEAN,2016,2026,CY,'BKRACTMED=1,WIN=0,CURRENCY=USD,UNITS=AUTO,CALC=CALA,DATE=NOW')":[6.7430882,5.6381707,5.669918,6.157037,0.0,0.13784626,0.3216413,0.5054363,null,null,null],"GSF-NO^FE_TIMESERIES(SHEQUITY,MEAN,2016,2026,CY,'BKRACTMED=1,WIN=0,CURRENCY=USD,UNITS=AUTO,CALC=CALA,DATE=NOW')":[385.80096,426.9633,443.64215,447.51935,521.38336,564.0538,652.9154,733.01666,null,null,null],"GSF-NO^FE_TIMESERIES(CAPEX,MEAN,2016,2026,CY,'BKRACTMED=1,WIN=0,CURRENCY=USD,UNITS=AUTO,CALC=CALA,DATE=NOW')":[30.223484,69.19573,84.35449,57.35766,148.94133,93.237686,70.83766,84.79843,null,null,null],"GSF-NO^FE_TIMESERIES(FCF,MEAN,2016,2026,CY,'BKRACTMED=1,WIN=0,CURRENCY=USD,UNITS=AUTO,CALC=CALA,DATE=NOW')":[81.03747,15.248689,2.8407445,77.124985,-150.41951,55.61331,41.719555,49.509785,null,null,null],"GSF-NO^FE_TIMESERIES(CFO,MEAN,2016,2026,CY,'BKRACTMED=1,WIN=0,CURRENCY=USD,UNITS=AUTO,CALC=CALA,DATE=NOW')":[110.41807,87.77606,88.86729,144.74437,48.60253,39.958187,117.99449,137.08812,null,null,null],"GSF-NO^FE_TIMESERIES(CFI,MEAN,2016,2026,CY,'BKRACTMED=1,WIN=0,CURRENCY=USD,UNITS=AUTO,CALC=CALA,DATE=NOW')":[-24.082458,-70.60527,-87.825874,-39.2106,-199.02203,134.77344,-71.50775,-89.98298,null,null,null],"GSF-NO^FE_TIMESERIES(CFF,MEAN,2016,2026,CY,'BKRACTMED=1,WIN=0,CURRENCY=USD,UNITS=AUTO,CALC=CALA,DATE=NOW')":[-76.88325,-48.11666,-20.481133,-97.32439,157.27826,-59.82528,-13.612319,27.30122,null,null,null],"GSF-NO^FE_TIMESERIES(NETDIV,MEAN,2016,2026,CY,'BKRACTMED=1,WIN=0,CURRENCY=USD,UNITS=AUTO,CALC=CALA,DATE=NOW')":[0.48164916,0.38442072,0.46285045,0.43207276,0.0,0.071794935,0.16314508,0.26573536,1.033847,null,null],"GSF-NO^FE_TIMESERIES(CFPS,MEAN,2016,2026,CY,'BKRACTMED=1,WIN=0,CURRENCY=USD,UNITS=AUTO,CALC=CALA,DATE=NOW')":[0.9632983,0.8578989,0.8071352,1.0369747,0.15373063,0.4539335,0.9476035,1.1539289,null,null,null],"GSF-NO^FE_TIMESERIES(BVPS,MEAN,2016,2026,CY,'BKRACTMED=1,WIN=0,CURRENCY=USD,UNITS=AUTO,CALC=CALA,DATE=NOW')":[3.4317503,3.8185792,3.9696612,3.9534657,4.595363,4.9121275,5.781145,6.3552136,6.3885546,null,null],"GSF-NO^PROPER(CONVERT_DATE(FE_TIMESERIES_PERIOD(,2016,2026,FY,'DISPLAY=YYYYMMDD'),\"MMM 'YY\"))":["Dec '16","Dec '17","Dec '18","Dec '19","Dec '20","Dec '21","Dec '22","Dec '23","Dec '24","Dec '25","Dec '26"],"GSF-NO^FE_TIMESERIES_VALUATION(ROA,MEAN,2016,2026,FY,'BKRACTMED=1,WIN=0,UNITS=AUTO,DATE=NOW')":[17.474867,7.758115,11.623344,6.9613876,-4.9455194,5.227511,6.899565,7.089495,null,null,null],"GSF-NO^FE_TIMESERIES_VALUATION(ROE,MEAN,2016,2026,FY,'BKRACTMED=1,WIN=0,UNITS=AUTO,DATE=NOW')":[25.438597,18.971127,19.821484,19.624004,-2.702007,5.526018,14.641024,14.649965,22.103872,null,null],"LSG-NO^PROPER(CONVERT_DATE(FE_TIMESERIES_PERIOD(,2016,2026,CY,''),\"MMM 'YY\"))":["Dec '16","Dec '17","Dec '18","Dec '19","Dec '20","Dec '21","Dec '22","Dec '23","Dec '24","Dec '25","Dec '26"],"LSG-NO^FE_TIMESERIES_PERIOD(,2016,2026,CY,'')":["2016","2017","2018","2019","2020","2021","2022","2023","2024","2025","2026"],"LSG-NO^FE_TIMESERIES(SALES,MEAN,2016,2026,CY,'BKRACTMED=1,WIN=0,CURRENCY=USD,UNITS=AUTO,CALC=CALA,DATE=NOW')":[2066.9556,2367.9746,2306.5698,2177.324,2363.5986,2589.9749,2799.9897,2806.9636,2842.9004,null,null],"LSG-NO^FE_TIMESERIES(COS,MEAN,2016,2026,CY,'BKRACTMED=1,WIN=0,CURRENCY=USD,UNITS=AUTO,CALC=CALA,DATE=NOW')":[1359.0391,1524.8668,1732.0784,1778.9954,1995.9147,1844.115,1903.7719,1938.0037,null,null,null],"LSG-NO^FE_TIMESERIES(GROSSINCOME,MEAN,2016,2026,CY,'BKRACTMED=1,WIN=0,CURRENCY=USD,UNITS=AUTO,CALC=CALA,DATE=NOW')":[619.943,1139.8674,491.59073,692.30524,708.2507,893.12897,1029.4819,1005.70337,null,null,null],"LSG-NO^FE_TIMESERIES(SGA,MEAN,2016,2026,CY,'BKRACTMED=1,WIN=0,CURRENCY=USD,UNITS=AUTO,CALC=CALA,DATE=NOW')":[213.64963,309.9829,310.32538,312.6299,363.7763,null,null,null,null,null,null],"LSG-NO^FE_TIMESERIES(S_M_EXP,MEAN,2016,2026,CY,'BKRACTMED=1,WIN=0,CURRENCY=USD,UNITS=AUTO,CALC=CALA,DATE=NOW')":[39.139175,null,null,null,null,null,null,null,null,null,null],"LSG-NO^FE_TIMESERIES(EBITDA,MEAN,2016,2026,CY,'BKRACTMED=1,WIN=0,CURRENCY=USD,UNITS=AUTO,CALC=CALA,DATE=NOW')":[401.56555,546.7295,491.59073,399.288,368.15775,485.95398,622.731,628.2573,735.2349,null,null],"LSG-NO^FE_TIMESERIES(EBITDA_ADJ,MEAN,2016,2026,CY,'BKRACTMED=1,WIN=0,CURRENCY=USD,UNITS=AUTO,CALC=CALA,DATE=NOW')":[401.56555,546.68884,491.59073,399.288,368.15775,485.95398,622.731,628.2573,null,null,null],"LSG-NO^FE_TIMESERIES(EBITDA_REP,MEAN,2016,2026,CY,'BKRACTMED=1,WIN=0,CURRENCY=USD,UNITS=AUTO,CALC=CALA,DATE=NOW')":[401.56555,546.6818,491.59073,399.288,368.1456,476.27408,614.7683,604.57074,null,null,null],"LSG-NO^FE_TIMESERIES(DEPR_AMORT,MEAN,2016,2026,CY,'BKRACTMED=1,WIN=0,CURRENCY=USD,UNITS=AUTO,CALC=CALA,DATE=NOW')":[61.282135,74.12635,76.73839,107.86958,137.24504,143.32182,147.7444,150.25243,null,null,null],"LSG-NO^FE_TIMESERIES(EBIT,MEAN,2016,2026,CY,'BKRACTMED=1,WIN=0,CURRENCY=USD,UNITS=AUTO,CALC=CALA,DATE=NOW')":[340.28342,472.52814,414.96863,291.41843,230.9127,343.7389,477.04065,477.98193,null,null,null],"LSG-NO^FE_TIMESERIES(EBITA,MEAN,2016,2026,CY,'BKRACTMED=1,WIN=0,CURRENCY=USD,UNITS=AUTO,CALC=CALA,DATE=NOW')":[340.33847,471.96744,414.96863,291.41843,230.9127,333.85602,442.40994,419.32068,null,null,null],"LSG-NO^FE_TIMESERIES(EBIT_ADJ,MEAN,2016,2026,CY,'BKRACTMED=1,WIN=0,CURRENCY=USD,UNITS=AUTO,CALC=CALA,DATE=NOW')":[340.28342,472.52814,414.96863,291.41843,230.9127,343.7389,477.04065,477.98193,null,null,null],"LSG-NO^FE_TIMESERIES(EBITR,MEAN,2016,2026,CY,'BKRACTMED=1,WIN=0,CURRENCY=USD,UNITS=AUTO,CALC=CALA,DATE=NOW')":[516.34985,null,502.66397,255.92378,132.98203,438.57336,489.58417,487.40143,null,null,null],"LSG-NO^FE_TIMESERIES(INTEXP,MEAN,2016,2026,CY,'BKRACTMED=1,WIN=0,CURRENCY=USD,UNITS=AUTO,CALC=CALA,DATE=NOW')":[0.7779959,null,null,22.916956,28.53844,22.285147,21.481043,null,null,null,null],"LSG-NO^FE_TIMESERIES(PTP,MEAN,2016,2026,CY,'BKRACTMED=1,WIN=0,CURRENCY=USD,UNITS=AUTO,CALC=CALA,DATE=NOW')":[532.0295,266.1174,517.2865,252.08652,116.87735,469.48923,492.24002,494.36267,588.3072,null,null],"LSG-NO^FE_TIMESERIES(PTPA,MEAN,2016,2026,CY,'BKRACTMED=1,WIN=0,CURRENCY=USD,UNITS=AUTO,CALC=CALA,DATE=NOW')":[356.08273,484.39218,429.5024,287.68774,214.80801,444.76605,549.96265,532.3738,null,null,null],"LSG-NO^FE_TIMESERIES(PTPBG,MEAN,2016,2026,CY,'BKRACTMED=1,WIN=0,CURRENCY=USD,UNITS=AUTO,CALC=CALA,DATE=NOW')":[532.0295,266.1174,517.2865,252.08652,116.87735,469.48923,492.24002,494.36267,588.3072,null,null],"LSG-NO^FE_TIMESERIES(TAX_EXPENSE,MEAN,2016,2026,CY,'BKRACTMED=1,WIN=0,CURRENCY=USD,UNITS=AUTO,CALC=CALA,DATE=NOW')":[110.95418,43.73836,98.94601,52.868885,23.328104,100.77711,106.83469,110.96625,null,null,null],"LSG-NO^FE_TIMESERIES(NETPROFIT,MEAN,2016,2026,CY,'BKRACTMED=1,WIN=0,CURRENCY=USD,UNITS=AUTO,CALC=CALA,DATE=NOW')":[385.88596,222.37906,399.62094,197.93855,94.02292,347.10336,359.62308,363.63846,404.85422,null,null],"LSG-NO^FE_TIMESERIES(NETBG,MEAN,2016,2026,CY,'BKRACTMED=1,WIN=0,CURRENCY=USD,UNITS=AUTO,CALC=CALA,DATE=NOW')":[253.86603,379.72272,331.8258,225.3323,169.92807,265.57425,360.9069,365.45364,404.85422,null,null],"LSG-NO^FE_TIMESERIES(BFNG,MEAN,2016,2026,CY,'BKRACTMED=1,WIN=0,CURRENCY=USD,UNITS=AUTO,CALC=CALA,DATE=NOW')":[385.88596,222.37906,399.62094,197.93855,94.02594,349.42706,361.98996,363.63867,404.85422,null,null],"LSG-NO^FE_TIMESERIES(CAPEX,MEAN,2016,2026,CY,'BKRACTMED=1,WIN=0,CURRENCY=USD,UNITS=AUTO,CALC=CALA,DATE=NOW')":[88.83486,183.98083,239.34238,125.88338,140.20546,168.95358,158.77592,147.06474,null,null,null],"LSG-NO^FE_TIMESERIES(FCF,MEAN,2016,2026,CY,'BKRACTMED=1,WIN=0,CURRENCY=USD,UNITS=AUTO,CALC=CALA,DATE=NOW')":[-127.95039,262.65268,77.0872,178.85886,118.12073,116.3882,268.111,307.33975,null,null,null],"LSG-NO^FE_TIMESERIES(CFO,MEAN,2016,2026,CY,'BKRACTMED=1,WIN=0,CURRENCY=USD,UNITS=AUTO,CALC=CALA,DATE=NOW')":[316.94354,445.0124,304.97696,304.74222,280.29248,297.4263,431.48178,469.625,null,null,null],"LSG-NO^FE_TIMESERIES(CFI,MEAN,2016,2026,CY,'BKRACTMED=1,WIN=0,CURRENCY=USD,UNITS=AUTO,CALC=CALA,DATE=NOW')":[-446.33023,-181.81935,-227.77348,-93.373276,-160.3363,-174.83502,-176.1369,-145.37038,null,null,null],"LSG-NO^FE_TIMESERIES(CFF,MEAN,2016,2026,CY,'BKRACTMED=1,WIN=0,CURRENCY=USD,UNITS=AUTO,CALC=CALA,DATE=NOW')":[233.03969,-124.476326,-151.26764,-211.9019,-127.53486,-198.84325,-165.95158,-194.65042,null,null,null],"LSG-NO^FE_TIMESERIES(EPS,MEAN,2016,2026,CY,'BKRACTMED=1,WIN=0,CURRENCY=USD,UNITS=AUTO,CALC=CALA,DATE=NOW')":[0.4338823,0.6230174,0.55685717,0.3855449,0.29130524,0.4130906,0.6031584,0.6100509,0.6795436,null,null],"LSG-NO^FE_TIMESERIES(NETDIV,MEAN,2016,2026,CY,'BKRACTMED=1,WIN=0,CURRENCY=USD,UNITS=AUTO,CALC=CALA,DATE=NOW')":[0.15559918,0.1907196,0.23254056,0.21318099,0.23683354,0.2672686,0.35973984,0.38392085,0.40205163,null,null],"LSG-NO^FE_TIMESERIES(CFPS,MEAN,2016,2026,CY,'BKRACTMED=1,WIN=0,CURRENCY=USD,UNITS=AUTO,CALC=CALA,DATE=NOW')":[0.5260449,0.7412635,0.42802724,0.4565162,0.37893367,0.58532274,0.76201355,0.82878965,null,null,null],"LSG-NO^FE_TIMESERIES(BVPS,MEAN,2016,2026,CY,'BKRACTMED=1,WIN=0,CURRENCY=USD,UNITS=AUTO,CALC=CALA,DATE=NOW')":[2.5192823,3.0515137,3.1509247,3.016511,3.3310637,3.591903,3.9369264,4.042071,4.241785,null,null],"LSG-NO^PROPER(CONVERT_DATE(FE_TIMESERIES_PERIOD(,2016,2026,FY,'DISPLAY=YYYYMMDD'),\"MMM 'YY\"))":["Dec '16","Dec '17","Dec '18","Dec '19","Dec '20","Dec '21","Dec '22","Dec '23","Dec '24","Dec '25","Dec '26"],"LSG-NO^FE_TIMESERIES_VALUATION(ROA,MEAN,2016,2026,FY,'BKRACTMED=1,WIN=0,UNITS=AUTO,DATE=NOW')":[12.855377,6.8165874,12.113629,6.151247,2.6323643,9.270922,9.079246,8.79964,null,null,null],"LSG-NO^FE_TIMESERIES_VALUATION(ROE,MEAN,2016,2026,FY,'BKRACTMED=1,WIN=0,UNITS=AUTO,DATE=NOW')":[17.222458,20.416666,17.67282,12.781154,8.745112,11.500606,15.320541,15.092534,16.020227,null,null],"LSG-NO^FE_TIMESERIES_VALUATION(NETINC_ROA,MEAN,2016,2026,FY,'BKRACTMED=1,WIN=0,UNITS=AUTO,DATE=NOW')":[0.157027,0.06894377,0.12722327,0.06341997,0.026312301,0.096298814,0.09334875,0.08986094,null,null,null],"LSG-NO^FE_TIMESERIES_VALUATION(NETINC_SHEQUITY,MEAN,2016,2026,FY,'BKRACTMED=1,WIN=0,UNITS=AUTO,DATE=NOW')":[0.2899411,0.12512071,0.22084786,0.11088388,0.046050344,0.16659412,0.16087727,0.15194905,null,null,null],"USDRUB^JULIAN(P_PRICE_AVG(1/1/2016,12/31/2016).DATES)":42734,"XMICEX00^FG_COMPANY_NAME()":"IMOEX","USDRUB^FG_COMPANY_NAME()":"Russian Rouble per U.S. Dollar","MOWI-NO^FG_COMPANY_NAME()":"Mowi ASA","BAKKA-NO^FG_COMPANY_NAME()":"Bakkafrost P/F","AUSS-NO^FG_COMPANY_NAME()":"Austevoll Seafood ASA","ASA-NO^FG_COMPANY_NAME()":"Atlantic Sapphire ASA","ANDF-NO^FG_COMPANY_NAME()":"Andfjord Salmon AS","SALM-NO^FG_COMPANY_NAME()":"SalMar ASA","GSF-NO^FG_COMPANY_NAME()":"Grieg Seafood ASA","LSG-NO^FG_COMPANY_NAME()":"Leroy Seafood Group ASA","SALMOCAM-CL^FG_COMPANY_NAME()":"Salmones Camanchaca SA","USDNOK^FG_COMPANY_NAME()":"Norwegian Krone per U.S. Dollar","1333-JP^FG_COMPANY_NAME()":"Maruha Nichiro Corp.","1332-JP^FG_COMPANY_NAME()":"Nippon Suisan Kaisha, Ltd.","USDJPY^FG_COMPANY_NAME()":"Japanese Yen per U.S. Dollar","SALM-FDS^FG_COMPANY_NAME()":"Salmon Prices Average Price (NOK/Kg)","USDCLP^FG_COMPANY_NAME()":"Chilean Peso per U.S. Dollar","NOKRUB^FG_COMPANY_NAME()":"Russian Rouble per Norwegian Krone","USDRUB^FORMULA_DESCRIPTION(\"P_PRICE_AVG\")":"Price - Average - for Dates Requested","USDRUB^P_PRICE_AVG(1/1/2016,12/31/2016)":67.005104,"AQUA-RU^FG_COMPANY_NAME()":"Russian Aquaculture PJSC","MOWI-NO^FORMULA_DESCRIPTION(\"FREF_SHARES_COMPANY\")":"Shares - Company Level","BAKKA-NO^FORMULA_DESCRIPTION(\"FREF_SHARES_COMPANY\")":"Shares - Company Level","SALM-NO^FORMULA_DESCRIPTION(\"FREF_SHARES_COMPANY\")":"Shares - Company Level","GSF-NO^FORMULA_DESCRIPTION(\"FREF_SHARES_COMPANY\")":"Shares - Company Level","LSG-NO^FORMULA_DESCRIPTION(\"FREF_SHARES_COMPANY\")":"Shares - Company Level","SALMOCAM-CL^FORMULA_DESCRIPTION(\"FREF_SHARES_COMPANY\")":"Shares - Company Level","AQUA-RU^FORMULA_DESCRIPTION(\"FREF_SHARES_COMPANY\")":"Shares - Company Level","SALM-FDS^FORMULA_DESCRIPTION(\"FG_PRICE\")":"Price","USDNOK^FORMULA_DESCRIPTION(\"FG_PRICE\")":"Price","USDEUR^FG_COMPANY_NAME()":"Euro per U.S. Dollar","USDEUR^FORMULA_DESCRIPTION(\"P_PRICE_AVG\")":"Price - Average - for Dates Requested","USDDKK^FG_COMPANY_NAME()":"Danish Krone per U.S. Dollar","USDDKK^FORMULA_DESCRIPTION(\"P_PRICE_AVG\")":"Price - Average - for Dates Requested","NOKUSD^FG_COMPANY_NAME()":"U.S. Dollar per Norwegian Krone","NOKUSD^FORMULA_DESCRIPTION(\"P_PRICE_AVG\")":"Price - Average - for Dates Requested","SALM-FDS^FORMULA_DESCRIPTION(\"P_PRICE_AVG\")":"Price - Average - for Dates Requested","USDRUB^JULIAN(P_PRICE_AVG(1/1/2015,12/31/2015).DATES)":42369,"USDRUB^P_PRICE_AVG(1/1/2015,12/31/2015)":61.26734,"USDRUB^JULIAN(P_PRICE_AVG(1/1/2017,12/31/2017).DATES)":43098,"USDRUB^P_PRICE_AVG(1/1/2017,12/31/2017)":58.34285,"USDRUB^JULIAN(P_PRICE_AVG(1/1/2018,12/31/2018).DATES)":43465,"USDRUB^P_PRICE_AVG(1/1/2018,12/31/2018)":62.803402,"USDRUB^JULIAN(P_PRICE_AVG(1/1/2019,12/31/2019).DATES)":43830,"USDRUB^P_PRICE_AVG(1/1/2019,12/31/2019)":64.70925,"USDRUB^JULIAN(P_PRICE_AVG(1/1/2020,12/31/2020).DATES)":44196,"USDRUB^P_PRICE_AVG(1/1/2020,12/31/2020)":72.32566,"AQUA-RU^FORMULA_DESCRIPTION(\"FG_PRICE\")":"Price","XMICEX00^FORMULA_DESCRIPTION(\"FG_PRICE\")":"Price","USDRUB^FORMULA_DESCRIPTION(\"FG_PRICE\")":"Price","MOWI-NO^FORMULA_DESCRIPTION(\"FG_PRICE\")":"Price","BAKKA-NO^FORMULA_DESCRIPTION(\"FG_PRICE\")":"Price","AUSS-NO^FORMULA_DESCRIPTION(\"FG_PRICE\")":"Price","ASA-NO^FORMULA_DESCRIPTION(\"FG_PRICE\")":"Price","ANDF-NO^FORMULA_DESCRIPTION(\"FG_PRICE\")":"Price","SALM-NO^FORMULA_DESCRIPTION(\"FG_PRICE\")":"Price","GSF-NO^FORMULA_DESCRIPTION(\"FG_PRICE\")":"Price","LSG-NO^FORMULA_DESCRIPTION(\"FG_PRICE\")":"Price","SALMOCAM-CL^FORMULA_DESCRIPTION(\"FG_PRICE\")":"Price","1333-JP^FORMULA_DESCRIPTION(\"FG_PRICE\")":"Price","1332-JP^FORMULA_DESCRIPTION(\"FG_PRICE\")":"Price","USDJPY^FORMULA_DESCRIPTION(\"FG_PRICE\")":"Price","USDCLP^FORMULA_DESCRIPTION(\"FG_PRICE\")":"Price","NOKRUB^FORMULA_DESCRIPTION(\"FG_PRICE\")":"Price","USDEUR^JULIAN(P_PRICE_AVG(12/31/2019,12/31/2020).DATES)":44196,"USDEUR^P_PRICE_AVG(12/31/2019,12/31/2020)":0.87724274,"USDDKK^P_PRICE_AVG(12/31/2019,12/31/2020)":6.539605,"NOKUSD^P_PRICE_AVG(12/31/2019,12/31/2020)":0.10667799,"USDRUB^P_PRICE_AVG(12/31/2019,12/31/2020)":72.28682,"SALM-FDS^P_PRICE_AVG(12/31/2019,12/31/2020)":null,"AQUA-RU^JULIAN(FG_PRICE(0,0,D).DATES)":44439,"AQUA-RU^FG_PRICE(0,0,D)":471.0,"XMICEX00^FG_PRICE(0,0,D)":2565.1,"USDRUB^FG_PRICE(0,0,D)":73.245,"MOWI-NO^FG_PRICE(0,0,D)":232.9,"BAKKA-NO^FG_PRICE(0,0,D)":764.2,"AUSS-NO^FG_PRICE(0,0,D)":111.7,"ASA-NO^FG_PRICE(0,0,D)":47.0,"ANDF-NO^FG_PRICE(0,0,D)":40.0,"SALM-NO^FG_PRICE(0,0,D)":582.8,"GSF-NO^FG_PRICE(0,0,D)":86.55,"LSG-NO^FG_PRICE(0,0,D)":76.76,"SALMOCAM-CL^FG_PRICE(0,0,D)":3674.9,"USDCLP^FG_PRICE(0,0,D)":774.95,"USDNOK^FG_PRICE(0,0,D)":8.70535,"1333-JP^FG_PRICE(0,0,D)":2536.0,"1332-JP^FG_PRICE(0,0,D)":606.0,"USDJPY^FG_PRICE(0,0,D)":109.86,"SALM-FDS^FG_PRICE(0,0,D)":53.51,"NOKRUB^FG_PRICE(0,0,D)":8.413792,"MOWI-NO^FORMULA_DESCRIPTION(\"P_PRICE_AVG\")":"Price - Average - for Dates Requested","BAKKA-NO^FORMULA_DESCRIPTION(\"P_PRICE_AVG\")":"Price - Average - for Dates Requested","SALM-NO^FORMULA_DESCRIPTION(\"P_PRICE_AVG\")":"Price - Average - for Dates Requested","GSF-NO^FORMULA_DESCRIPTION(\"P_PRICE_AVG\")":"Price - Average - for Dates Requested","LSG-NO^FORMULA_DESCRIPTION(\"P_PRICE_AVG\")":"Price - Average - for Dates Requested","SALMOCAM-CL^FORMULA_DESCRIPTION(\"P_PRICE_AVG\")":"Price - Average - for Dates Requested","AQUA-RU^FORMULA_DESCRIPTION(\"P_PRICE_AVG\")":"Price - Average - for Dates Requested","MOWI-NO^JULIAN(P_PRICE_AVG(1/1/2016,12/31/2016,,USD).DATES)":42734,"MOWI-NO^P_PRICE_AVG(1/1/2016,12/31/2016,,USD)":16.15215,"BAKKA-NO^P_PRICE_AVG(1/1/2016,12/31/2016,,USD)":37.60284,"SALM-NO^P_PRICE_AVG(1/1/2016,12/31/2016,,USD)":27.05272,"GSF-NO^P_PRICE_AVG(1/1/2016,12/31/2016,,USD)":6.2774353,"LSG-NO^P_PRICE_AVG(1/1/2016,12/31/2016,,USD)":4.7313366,"SALMOCAM-CL^P_PRICE_AVG(1/1/2016,12/31/2016,,USD)":null,"AQUA-RU^P_PRICE_AVG(1/1/2016,12/31/2016,,USD)":0.6065489,"USDEUR^JULIAN(P_PRICE_AVG(12/31/2018,12/31/2019).DATES)":43830,"USDEUR^P_PRICE_AVG(12/31/2018,12/31/2019)":0.8933299,"USDDKK^P_PRICE_AVG(12/31/2018,12/31/2019)":6.669739,"NOKUSD^P_PRICE_AVG(12/31/2018,12/31/2019)":0.11371306,"USDRUB^P_PRICE_AVG(12/31/2018,12/31/2019)":64.72705,"SALM-FDS^P_PRICE_AVG(12/31/2018,12/31/2019)":null,"AQUA-RU^JULIAN(FG_PRICE(-2AY,0,D).DATES)":[43707,43710,43711,43712,43713,43714,43717,43718,43719,43720,43721,43724,43725,43726,43727,43728,43731,43732,43733,43734,43735,43738,43739,43740,43741,43742,43745,43746,43747,43748,43749,43752,43753,43754,43755,43756,43759,43760,43761,43762,43763,43766,43767,43768,43769,43770,43774,43775,43776,43777,43780,43781,43782,43783,43784,43787,43788,43789,43790,43791,43794,43795,43796,43797,43798,43801,43802,43803,43804,43805,43808,43809,43810,43811,43812,43815,43816,43817,43818,43819,43822,43823,43824,43825,43826,43829,43833,43836,43838,43839,43840,43843,43844,43845,43846,43847,43850,43851,43852,43853,43854,43857,43858,43859,43860,43861,43864,43865,43866,43867,43868,43871,43872,43873,43874,43875,43878,43879,43880,43881,43882,43886,43887,43888,43889,43892,43893,43894,43895,43896,43900,43901,43902,43903,43906,43907,43908,43909,43910,43913,43914,43915,43916,43917,43920,43921,43922,43923,43924,43927,43928,43929,43930,43931,43934,43935,43936,43937,43938,43941,43942,43943,43944,43945,43948,43949,43950,43951,43955,43956,43957,43958,43959,43963,43964,43965,43966,43969,43970,43971,43972,43973,43976,43977,43978,43979,43980,43983,43984,43985,43986,43987,43990,43991,43992,43993,43997,43998,43999,44000,44001,44004,44005,44007,44008,44011,44012,44014,44015,44018,44019,44020,44021,44022,44025,44026,44027,44028,44029,44032,44033,44034,44035,44036,44039,44040,44041,44042,44043,44046,44047,44048,44049,44050,44053,44054,44055,44056,44057,44060,44061,44062,44063,44064,44067,44068,44069,44070,44071,44074,44075,44076,44077,44078,44081,44082,44083,44084,44085,44088,44089,44090,44091,44092,44095,44096,44097,44098,44099,44102,44103,44104,44105,44106,44109,44110,44111,44112,44113,44116,44117,44118,44119,44120,44123,44124,44125,44126,44127,44130,44131,44132,44133,44134,44137,44138,44140,44141,44144,44145,44146,44147,44148,44151,44152,44153,44154,44155,44158,44159,44160,44161,44162,44165,44166,44167,44168,44169,44172,44173,44174,44175,44176,44179,44180,44181,44182,44183,44186,44187,44188,44189,44190,44193,44194,44195,44200,44201,44202,44204,44207,44208,44209,44210,44211,44214,44215,44216,44217,44218,44221,44222,44223,44224,44225,44228,44229,44230,44231,44232,44235,44236,44237,44238,44239,44242,44243,44244,44245,44246,44249,44251,44252,44253,44256,44257,44258,44259,44260,44264,44265,44266,44267,44270,44271,44272,44273,44274,44277,44278,44279,44280,44281,44284,44285,44286,44287,44288,44291,44292,44293,44294,44295,44298,44299,44300,44301,44302,44305,44306,44307,44308,44309,44312,44313,44314,44315,44316,44320,44321,44322,44323,44326,44327,44328,44329,44330,44333,44334,44335,44336,44337,44340,44341,44342,44343,44344,44347,44348,44349,44350,44351,44354,44355,44356,44357,44358,44361,44362,44363,44364,44365,44368,44369,44370,44371,44372,44375,44376,44377,44378,44379,44382,44383,44384,44385,44386,44389,44390,44391,44392,44393,44396,44397,44398,44399,44400,44403,44404,44405,44406,44407,44410,44411,44412,44413,44414,44417,44418,44419,44420,44421,44424,44425,44426,44427,44428,44431,44432,44433,44434,44435,44438,44439],"MOWI-NO^JULIAN(FREF_SHARES_COMPANY(12/31/2016,0,CY,,0,\"LEGACY\").DATES)":[42734,43098,43462,43829,44195],"MOWI-NO^FREF_SHARES_COMPANY(12/31/2016,0,CY,,0,\"LEGACY\")":[450.085662841797,490.167785644531,516.039733886719,517.111083984375,517.111083984375],"BAKKA-NO^FREF_SHARES_COMPANY(12/31/2016,0,CY,,0,\"LEGACY\")":[48.9287643432617,48.9287643432617,48.9287643432617,59.1430015563965,59.1430015563965],"SALM-NO^FREF_SHARES_COMPANY(12/31/2016,0,CY,,0,\"LEGACY\")":[113.300003051758,113.300003051758,113.300003051758,113.300003051758,113.300003051758],"GSF-NO^FREF_SHARES_COMPANY(12/31/2016,0,CY,,0,\"LEGACY\")":[111.662002563477,111.662002563477,111.662002563477,111.662002563477,113.447036743164],"LSG-NO^FREF_SHARES_COMPANY(12/31/2016,0,CY,,0,\"LEGACY\")":[595.773681640625,595.773681640625,595.773681640625,595.773681640625,595.773681640625],"SALMOCAM-CL^FREF_SHARES_COMPANY(12/31/2016,0,CY,,0,\"LEGACY\")":[null,null,66.0,66.0,66.0],"AQUA-RU^FREF_SHARES_COMPANY(12/31/2016,0,CY,,0,\"LEGACY\")":[87.2892303466797,87.8766479492188,87.8766479492188,87.8766479492188,87.8766479492188],"AQUA-RU^FG_PRICE(-2AY,0,D)":[262.5,258.5,256.5,255.5,254.0,255.5,256.0,256.5,253.0,244.0,238.0,232.5,225.5,225.0,223.0,223.5,225.0,224.0,221.0,221.5,222.0,222.0,222.0,219.5,221.5,220.5,220.5,218.5,217.0,218.5,218.5,219.0,218.5,218.5,219.0,219.5,219.5,219.5,217.0,217.0,213.0,212.0,212.0,212.5,213.0,212.5,211.5,210.0,207.5,208.0,208.5,204.0,201.5,201.0,201.5,199.0,198.5,196.0,198.0,199.0,196.5,197.0,196.0,194.0,194.5,205.0,214.5,230.0,233.5,229.5,230.0,230.0,234.0,230.0,251.5,234.0,233.0,230.0,229.5,227.0,231.0,229.0,225.0,224.0,231.0,255.5,242.0,235.5,254.0,249.0,254.0,254.5,273.0,269.0,257.5,288.0,321.0,330.0,320.0,311.0,308.5,298.5,309.5,306.0,301.0,309.5,308.5,311.0,310.0,310.0,306.0,304.5,302.5,301.5,294.5,296.0,300.0,298.5,298.0,304.0,308.5,297.0,300.0,280.0,261.5,255.0,261.0,264.0,257.0,243.5,234.0,245.5,205.0,218.5,205.5,192.5,214.5,215.0,220.0,220.0,220.0,228.5,229.0,223.0,227.5,233.5,232.0,234.0,205.5,204.0,204.0,202.5,202.5,213.0,208.0,206.0,203.5,205.5,204.5,204.0,188.5,191.5,197.0,198.0,199.5,201.0,190.5,195.0,194.5,195.0,193.0,194.5,193.5,194.5,192.0,190.5,193.0,195.0,194.5,196.0,197.0,196.0,204.5,207.5,201.0,204.5,205.5,205.5,207.0,213.5,220.5,219.0,220.5,219.0,218.5,209.5,206.5,210.5,207.5,206.0,204.5,206.0,209.5,207.0,206.0,203.5,204.0,208.0,200.5,200.0,200.5,197.0,200.0,194.5,190.0,194.0,190.0,190.5,194.5,194.0,193.5,192.5,194.5,192.0,191.5,192.5,215.5,200.5,200.5,201.5,204.0,207.5,210.0,211.0,211.0,214.5,217.0,220.5,219.5,213.0,210.0,209.0,209.0,214.0,219.0,220.0,220.5,221.0,223.0,223.5,225.0,228.0,226.0,227.5,229.5,225.5,226.0,222.5,224.5,226.0,225.5,225.0,224.0,220.5,216.0,218.5,218.0,215.0,216.0,221.5,229.0,230.5,240.0,257.5,256.0,253.0,252.5,245.5,236.5,248.5,245.5,244.0,241.5,240.0,241.0,237.0,236.5,235.0,234.0,231.0,227.5,221.0,226.0,226.0,231.0,235.0,235.0,234.5,240.0,239.0,239.5,238.5,237.0,243.5,242.5,244.5,242.0,241.5,241.0,240.5,238.0,238.5,238.0,240.0,240.0,239.0,240.5,241.0,240.5,239.5,240.0,239.0,240.0,240.5,254.0,251.0,251.5,252.0,245.5,248.0,253.0,252.0,255.5,253.5,254.0,261.5,263.0,265.0,263.5,267.0,263.5,262.0,257.5,259.0,256.5,258.5,257.5,262.0,258.0,255.0,255.0,255.0,256.0,254.0,249.0,249.0,246.5,249.0,250.0,251.0,251.0,250.0,256.0,256.0,254.0,254.5,254.0,253.0,249.0,252.5,254.0,249.5,252.0,253.0,250.5,252.5,251.5,250.0,247.0,248.0,250.0,248.0,248.0,251.0,261.5,271.0,264.0,262.5,269.5,270.0,279.5,279.5,279.5,285.0,283.5,306.0,305.0,309.0,307.5,309.5,303.0,305.0,306.0,309.0,305.0,304.0,303.5,305.0,304.5,305.0,302.5,302.5,292.0,298.5,298.0,300.0,299.0,296.0,294.0,294.5,292.0,297.5,297.5,292.0,292.0,286.0,285.0,285.0,286.0,285.0,286.0,292.0,291.5,293.5,298.0,301.5,301.5,301.5,302.0,301.5,304.0,307.5,311.5,312.5,315.5,318.5,319.5,322.5,315.0,319.5,320.0,326.0,334.5,336.0,344.0,355.5,355.0,365.0,360.0,360.0,351.0,360.5,362.5,362.0,367.0,358.0,370.0,379.5,391.5,404.5,436.5,433.5,417.0,413.0,425.0,433.0,457.0,487.0,461.5,456.0,457.5,455.5,449.0,472.5,481.0,480.0,464.0,473.0,469.5,470.0,467.0,462.5,463.0,470.0,474.0,465.0,465.0,461.0,461.0,465.0,466.0,465.0,480.5,471.0],"USDEUR^JULIAN(P_PRICE_AVG(12/31/2017,12/31/2018).DATES)":43465,"USDEUR^P_PRICE_AVG(12/31/2017,12/31/2018)":0.84750086,"USDDKK^P_PRICE_AVG(12/31/2017,12/31/2018)":6.3167706,"NOKUSD^P_PRICE_AVG(12/31/2017,12/31/2018)":0.12297166,"USDRUB^P_PRICE_AVG(12/31/2017,12/31/2018)":62.783432,"SALM-FDS^P_PRICE_AVG(12/31/2017,12/31/2018)":null,"MOWI-NO^JULIAN(P_PRICE_AVG(1/1/2017,12/31/2017,,USD).DATES)":43098,"MOWI-NO^P_PRICE_AVG(1/1/2017,12/31/2017,,USD)":17.919327,"BAKKA-NO^P_PRICE_AVG(1/1/2017,12/31/2017,,USD)":39.52326,"SALM-NO^P_PRICE_AVG(1/1/2017,12/31/2017,,USD)":27.142311,"GSF-NO^P_PRICE_AVG(1/1/2017,12/31/2017,,USD)":8.675822,"LSG-NO^P_PRICE_AVG(1/1/2017,12/31/2017,,USD)":5.6432195,"SALMOCAM-CL^P_PRICE_AVG(1/1/2017,12/31/2017,,USD)":null,"AQUA-RU^P_PRICE_AVG(1/1/2017,12/31/2017,,USD)":1.9978771,"IMOEX-MIC^JULIAN(FG_PRICE(-2AY,0,D).DATES)":[43707,43710,43711,43712,43713,43714,43717,43718,43719,43720,43721,43724,43725,43726,43727,43728,43731,43732,43733,43734,43735,43738,43739,43740,43741,43742,43745,43746,43747,43748,43749,43752,43753,43754,43755,43756,43759,43760,43761,43762,43763,43766,43767,43768,43769,43770,43774,43775,43776,43777,43780,43781,43782,43783,43784,43787,43788,43789,43790,43791,43794,43795,43796,43797,43798,43801,43802,43803,43804,43805,43808,43809,43810,43811,43812,43815,43816,43817,43818,43819,43822,43823,43824,43825,43826,43829,43833,43836,43838,43839,43840,43843,43844,43845,43846,43847,43850,43851,43852,43853,43854,43857,43858,43859,43860,43861,43864,43865,43866,43867,43868,43871,43872,43873,43874,43875,43878,43879,43880,43881,43882,43886,43887,43888,43889,43892,43893,43894,43895,43896,43900,43901,43902,43903,43906,43907,43908,43909,43910,43913,43914,43915,43916,43917,43920,43921,43922,43923,43924,43927,43928,43929,43930,43931,43934,43935,43936,43937,43938,43941,43942,43943,43944,43945,43948,43949,43950,43951,43955,43956,43957,43958,43959,43963,43964,43965,43966,43969,43970,43971,43972,43973,43976,43977,43978,43979,43980,43983,43984,43985,43986,43987,43990,43991,43992,43993,43997,43998,43999,44000,44001,44004,44005,44007,44008,44011,44012,44014,44015,44018,44019,44020,44021,44022,44025,44026,44027,44028,44029,44032,44033,44034,44035,44036,44039,44040,44041,44042,44043,44046,44047,44048,44049,44050,44053,44054,44055,44056,44057,44060,44061,44062,44063,44064,44067,44068,44069,44070,44071,44074,44075,44076,44077,44078,44081,44082,44083,44084,44085,44088,44089,44090,44091,44092,44095,44096,44097,44098,44099,44102,44103,44104,44105,44106,44109,44110,44111,44112,44113,44116,44117,44118,44119,44120,44123,44124,44125,44126,44127,44130,44131,44132,44133,44134,44137,44138,44140,44141,44144,44145,44146,44147,44148,44151,44152,44153,44154,44155,44158,44159,44160,44161,44162,44165,44166,44167,44168,44169,44172,44173,44174,44175,44176,44179,44180,44181,44182,44183,44186,44187,44188,44189,44190,44193,44194,44195,44200,44201,44202,44204,44207,44208,44209,44210,44211,44214,44215,44216,44217,44218,44221,44222,44223,44224,44225,44228,44229,44230,44231,44232,44235,44236,44237,44238,44239,44242,44243,44244,44245,44246,44249,44251,44252,44253,44256,44257,44258,44259,44260,44264,44265,44266,44267,44270,44271,44272,44273,44274,44277,44278,44279,44280,44281,44284,44285,44286,44287,44288,44291,44292,44293,44294,44295,44298,44299,44300,44301,44302,44305,44306,44307,44308,44309,44312,44313,44314,44315,44316,44320,44321,44322,44323,44326,44327,44328,44329,44330,44333,44334,44335,44336,44337,44340,44341,44342,44343,44344,44347,44348,44349,44350,44351,44354,44355,44356,44357,44358,44361,44362,44363,44364,44365,44368,44369,44370,44371,44372,44375,44376,44377,44378,44379,44382,44383,44384,44385,44386,44389,44390,44391,44392,44393,44396,44397,44398,44399,44400,44403,44404,44405,44406,44407,44410,44411,44412,44413,44414,44417,44418,44419,44420,44421,44424,44425,44426,44427,44428,44431,44432,44433,44434,44435,44438,44439],"IMOEX-MIC^FORMULA_DESCRIPTION(\"FG_PRICE\")":"Price","IMOEX-MIC^FG_PRICE(-2AY,0,D)":[2740.04,2773.01,2774.2,2793.36,2807.06,2797.55,2786.63,2787.52,2817.05,2799.99,2791.74,2834.32,2820.86,2818.6,2794.77,2796.41,2785.46,2754.53,2760.29,2772.7,2757.98,2747.18,2758.83,2719.39,2707.47,2692.55,2719.22,2707.89,2713.02,2721.51,2708.07,2697.46,2715.26,2744.35,2748.64,2752.91,2761.15,2802.23,2821.58,2877.05,2873.41,2856.91,2886.48,2911.15,2893.98,2930.4,2949.55,2980.84,3008.54,2973.19,2961.46,2951.16,2933.89,2922.45,2934.82,2924.48,2941.69,2936.47,2942.6,2947.68,2955.32,2930.62,2929.05,2927.57,2935.37,2921.18,2883.48,2900.66,2899.29,2928.76,2945.03,2932.4,2954.4,2982.86,2996.63,3006.16,3013.29,3023.92,3008.39,3015.93,3033.81,3030.59,3030.84,3031.67,3050.47,3045.87,3076.37,3078.87,3110.06,3118.08,3123.66,3151.69,3129.77,3132.63,3157.23,3196.88,3219.92,3209.22,3174.62,3141.2,3146.2,3085.16,3113.1,3128.8,3108.58,3076.65,3070.84,3097.6,3114.25,3096.68,3087.63,3062.41,3097.58,3122.27,3110.05,3096.88,3110.06,3074.05,3114.57,3125.1,3106.03,3002.68,3017.42,2915.84,2785.08,2765.77,2821.37,2828.01,2816.7,2719.51,2498.94,2492.88,2286.4,2316.38,2266.9,2224.74,2112.64,2275.7,2331.61,2253.35,2415.97,2452.69,2489.97,2401.11,2433.35,2508.81,2473.61,2545.95,2572.23,2622.59,2634.74,2670.12,2701.77,2677.86,2628.85,2631.83,2498.94,2515.05,2534.97,2525.97,2488.02,2573.41,2599.41,2562.03,2570.91,2612.24,2663.14,2650.56,2624.64,2653.51,2632.1,2634.0,2641.55,2642.04,2604.98,2590.31,2593.91,2694.25,2711.72,2770.79,2718.67,2709.38,2757.93,2754.04,2741.02,2779.98,2734.83,2750.24,2796.51,2831.08,2766.26,2792.74,2796.3,2795.9,2785.18,2743.8,2719.06,2748.3,2740.1,2724.33,2758.67,2763.29,2791.97,2760.75,2761.74,2767.95,2743.2,2788.79,2801.66,2835.18,2825.21,2815.83,2782.43,2800.94,2766.79,2744.54,2747.91,2760.01,2774.79,2802.24,2825.71,2834.65,2851.79,2863.12,2884.88,2895.45,2918.42,2882.63,2911.57,2929.97,2940.46,2992.78,2988.5,2972.35,2960.78,3005.63,3053.99,3080.44,3061.99,3052.46,3050.7,3056.54,2993.69,2995.61,3029.42,3029.05,3051.97,3012.01,2980.17,2966.2,2975.0,2956.5,2931.92,2921.55,2932.29,2888.79,2876.07,2897.55,2910.51,2928.38,2980.58,2975.01,2971.74,2951.79,2863.67,2884.66,2916.39,2912.76,2896.83,2927.17,2910.12,2905.81,2889.8,2852.42,2881.98,2892.99,2842.58,2846.39,2834.09,2846.14,2829.23,2856.08,2817.29,2799.54,2794.27,2803.06,2786.23,2803.17,2816.7,2785.59,2763.03,2693.46,2709.04,2690.59,2737.54,2786.42,2861.39,2895.62,2987.75,2998.61,3015.03,3025.83,3025.22,3079.74,3052.22,3080.68,3046.49,3051.04,3047.06,3095.84,3134.52,3138.62,3142.68,3107.58,3147.79,3189.61,3162.67,3184.72,3195.08,3179.61,3211.66,3258.31,3276.58,3249.36,3248.11,3269.95,3282.67,3273.75,3186.38,3236.46,3252.1,3236.88,3246.35,3258.95,3274.67,3289.02,3350.51,3359.15,3371.03,3454.82,3482.48,3471.65,3470.26,3490.85,3450.95,3471.92,3443.23,3466.8,3422.67,3382.92,3397.48,3390.76,3343.62,3342.01,3277.08,3291.14,3360.25,3343.46,3372.0,3392.73,3445.9,3426.86,3399.66,3414.32,3427.08,3481.9,3495.26,3436.8,3400.17,3457.68,3433.93,3385.48,3409.76,3346.64,3386.16,3410.1,3416.04,3397.56,3414.13,3478.72,3463.06,3508.51,3539.5,3584.49,3589.83,3507.91,3504.85,3475.26,3489.07,3467.21,3485.33,3439.3,3489.83,3529.33,3525.23,3541.72,3527.54,3558.22,3524.93,3493.89,3500.34,3507.83,3486.03,3522.65,3526.3,3576.89,3568.51,3598.44,3574.08,3552.41,3561.72,3600.35,3597.17,3610.98,3600.6,3578.12,3571.05,3544.0,3577.21,3643.56,3658.27,3682.69,3694.78,3652.05,3654.14,3637.38,3637.6,3639.61,3687.96,3634.76,3636.16,3660.48,3662.51,3686.76,3711.05,3738.68,3730.55,3721.63,3764.59,3817.68,3805.45,3807.43,3822.21,3807.43,3843.28,3827.71,3841.53,3860.18,3822.4,3829.67,3819.07,3802.95,3813.45,3821.68,3837.15,3823.44,3831.84,3825.57,3790.85,3841.85,3858.32,3865.42,3882.59,3884.3,3895.1,3861.08,3855.31,3875.61,3877.03,3832.85,3799.97,3770.15,3693.42,3704.4,3722.96,3754.44,3734.54,3750.1,3733.1,3782.28,3804.33,3771.58,3788.1,3793.69,3810.62,3833.75,3805.36,3835.11,3862.32,3877.37,3888.86,3873.0,3895.31,3943.01,3925.17,3853.98,3832.7,3883.01,3888.87,3886.64,3851.57,3887.38,3928.5,3918.96],"USDEUR^JULIAN(P_PRICE_AVG(12/31/2016,12/31/2017).DATES)":43098,"USDEUR^P_PRICE_AVG(12/31/2016,12/31/2017)":0.88709754,"USDDKK^P_PRICE_AVG(12/31/2016,12/31/2017)":6.5987153,"NOKUSD^P_PRICE_AVG(12/31/2016,12/31/2017)":0.121036805,"USDRUB^P_PRICE_AVG(12/31/2016,12/31/2017)":58.34285,"SALM-FDS^P_PRICE_AVG(12/31/2016,12/31/2017)":null,"SALM-FDS^JULIAN(FG_PRICE(12/31/2010,12/31/2020,CY,USD).DATES)":[40543,40907,41274,41639,42004,42369,42734,43098,43465,43830,44196],"SALM-FDS^FG_PRICE(12/31/2010,12/31/2020,CY,USD)":[38.46,24.53,32.42,53.92,43.39,53.8,79.22,52.31,65.73,77.82,46.41],"USDNOK^JULIAN(FG_PRICE(12/31/2010,12/31/2020,CY,USD).DATES)":[40543,40907,41274,41639,42004,42369,42734,43098,43465,43830,44196],"USDNOK^FG_PRICE(12/31/2010,12/31/2020,CY,USD)":[5.8125,5.96795,5.56525,6.06685,7.49755,8.85135,8.6077,8.17935,8.65915,8.7873,8.56195],"AQUA-RU^JULIAN(P_VOLUME_FRQ(-2AY,0,D).DATES)":[43707,43710,43711,43712,43713,43714,43717,43718,43719,43720,43721,43724,43725,43726,43727,43728,43731,43732,43733,43734,43735,43738,43739,43740,43741,43742,43745,43746,43747,43748,43749,43752,43753,43754,43755,43756,43759,43760,43761,43762,43763,43766,43767,43768,43769,43770,43774,43775,43776,43777,43780,43781,43782,43783,43784,43787,43788,43789,43790,43791,43794,43795,43796,43797,43798,43801,43802,43803,43804,43805,43808,43809,43810,43811,43812,43815,43816,43817,43818,43819,43822,43823,43824,43825,43826,43829,43833,43836,43838,43839,43840,43843,43844,43845,43846,43847,43850,43851,43852,43853,43854,43857,43858,43859,43860,43861,43864,43865,43866,43867,43868,43871,43872,43873,43874,43875,43878,43879,43880,43881,43882,43886,43887,43888,43889,43892,43893,43894,43895,43896,43900,43901,43902,43903,43906,43907,43908,43909,43910,43913,43914,43915,43916,43917,43920,43921,43922,43923,43924,43927,43928,43929,43930,43931,43934,43935,43936,43937,43938,43941,43942,43943,43944,43945,43948,43949,43950,43951,43955,43956,43957,43958,43959,43963,43964,43965,43966,43969,43970,43971,43972,43973,43976,43977,43978,43979,43980,43983,43984,43985,43986,43987,43990,43991,43992,43993,43997,43998,43999,44000,44001,44004,44005,44007,44008,44011,44012,44014,44015,44018,44019,44020,44021,44022,44025,44026,44027,44028,44029,44032,44033,44034,44035,44036,44039,44040,44041,44042,44043,44046,44047,44048,44049,44050,44053,44054,44055,44056,44057,44060,44061,44062,44063,44064,44067,44068,44069,44070,44071,44074,44075,44076,44077,44078,44081,44082,44083,44084,44085,44088,44089,44090,44091,44092,44095,44096,44097,44098,44099,44102,44103,44104,44105,44106,44109,44110,44111,44112,44113,44116,44117,44118,44119,44120,44123,44124,44125,44126,44127,44130,44131,44132,44133,44134,44137,44138,44140,44141,44144,44145,44146,44147,44148,44151,44152,44153,44154,44155,44158,44159,44160,44161,44162,44165,44166,44167,44168,44169,44172,44173,44174,44175,44176,44179,44180,44181,44182,44183,44186,44187,44188,44189,44190,44193,44194,44195,44200,44201,44202,44204,44207,44208,44209,44210,44211,44214,44215,44216,44217,44218,44221,44222,44223,44224,44225,44228,44229,44230,44231,44232,44235,44236,44237,44238,44239,44242,44243,44244,44245,44246,44249,44251,44252,44253,44256,44257,44258,44259,44260,44264,44265,44266,44267,44270,44271,44272,44273,44274,44277,44278,44279,44280,44281,44284,44285,44286,44287,44288,44291,44292,44293,44294,44295,44298,44299,44300,44301,44302,44305,44306,44307,44308,44309,44312,44313,44314,44315,44316,44320,44321,44322,44323,44326,44327,44328,44329,44330,44333,44334,44335,44336,44337,44340,44341,44342,44343,44344,44347,44348,44349,44350,44351,44354,44355,44356,44357,44358,44361,44362,44363,44364,44365,44368,44369,44370,44371,44372,44375,44376,44377,44378,44379,44382,44383,44384,44385,44386,44389,44390,44391,44392,44393,44396,44397,44398,44399,44400,44403,44404,44405,44406,44407,44410,44411,44412,44413,44414,44417,44418,44419,44420,44421,44424,44425,44426,44427,44428,44431,44432,44433,44434,44435,44438,44439],"MOWI-NO^JULIAN(P_PRICE_AVG(1/1/2018,12/31/2018,,USD).DATES)":43462,"MOWI-NO^P_PRICE_AVG(1/1/2018,12/31/2018,,USD)":21.091839,"BAKKA-NO^P_PRICE_AVG(1/1/2018,12/31/2018,,USD)":53.915928,"SALM-NO^P_PRICE_AVG(1/1/2018,12/31/2018,,USD)":44.945248,"GSF-NO^P_PRICE_AVG(1/1/2018,12/31/2018,,USD)":11.286421,"LSG-NO^P_PRICE_AVG(1/1/2018,12/31/2018,,USD)":7.1840496,"SALMOCAM-CL^P_PRICE_AVG(1/1/2018,12/31/2018,,USD)":7.575012,"AQUA-RU^P_PRICE_AVG(1/1/2018,12/31/2018,,USD)":2.658321,"AQUA-RU^FORMULA_DESCRIPTION(\"P_VOLUME_FRQ\")":"Volume - Daily - for Date Requested","AQUA-RU^P_VOLUME_FRQ(-2AY,0,D)":[16.27,11.27,7.26,1.21,1.07,1.74,1.99,1.02,4.28,5.87,3.03,5.71,3.42,2.78,2.79,4.24,3.02,1.31,4.81,1.44,1.11,1.5,1.57,1.3,0.99,1.24,6.97,1.78,1.71,1.88,1.38,3.21,1.04,1.11,6.09,4.68,1.8,1.16,1.34,1.3,1.84,7.9,1.22,2.85,2.54,6.25,2.19,3.68,4.28,1.37,3.18,13.94,9.77,3.96,2.8,1.82,2.2,3.55,2.86,3.07,5.7,3.38,4.69,9.51,1.38,1.85,12.02,33.05,27.37,3.04,10.7,21.52,239.12,91.96,258.22,36.63,14.59,56.23,1.82,5.91,112.56,1.37,6.58,1.7,2.56,41.75,11.62,3.39,8.18,8.72,480.26,6.24,15.24,6.58,9.52,36.59,265.72,55.7,25.68,6.18,3.35,17.27,14.43,10.73,8.55,12.5,8.85,28.97,5.9,12.93,8.88,72.64,2.07,4.02,11.15,3.2,5.89,5.18,4.9,4.41,12.92,17.28,12.39,5.57,11.74,12.9,7.23,2.58,12.27,6.84,4.61,1.07,7.95,5.19,5.4,16.68,15.89,12.65,3.71,4.35,3.87,19.68,0.59,3.71,5.63,13.03,1.27,3.13,338.03,149.19,61.59,21.85,28.52,105.23,44.89,19.37,22.34,13.35,11.13,20.56,175.03,32.83,48.54,8.49,22.51,10.31,140.08,46.98,8.37,6.29,12.81,14.21,3.83,8.65,7.91,8.83,6.48,27.34,7.38,12.58,10.08,6.54,55.95,25.63,15.5,12.06,6.22,11.99,10.69,46.9,67.12,26.91,33.32,13.04,14.86,17.9,10.99,6.06,9.71,4.25,15.14,4.6,6.71,4.59,9.99,6.6,201.93,41.83,90.8,81.11,25.39,346.89,32.52,182.56,97.42,61.41,120.85,66.46,67.21,102.83,68.53,61.06,34.51,112.0,72.86,38.02,569.23,449.01,197.39,203.66,88.9,120.48,91.56,53.33,60.71,84.78,83.39,63.52,42.66,197.82,130.47,105.59,49.21,81.45,116.04,85.38,107.06,87.81,59.88,405.89,76.92,169.52,187.9,67.12,99.83,135.99,79.66,60.52,28.05,42.63,31.13,19.33,12.66,26.58,49.4,20.38,35.51,27.38,19.08,97.21,202.74,60.04,172.7,382.81,215.32,132.28,59.18,68.6,59.06,78.24,140.65,17.04,17.34,18.04,15.26,36.4,21.24,41.72,26.54,32.7,50.85,40.13,20.03,17.98,29.78,23.71,26.14,18.95,55.67,39.12,19.96,30.52,28.42,57.64,27.83,27.76,31.39,20.6,29.8,24.21,32.93,14.98,17.69,46.29,20.83,49.89,20.58,27.99,24.19,10.47,17.64,15.73,34.54,29.95,433.86,159.16,53.51,45.15,53.28,41.27,29.43,46.51,27.02,24.83,30.69,141.3,33.96,32.08,32.5,61.12,49.35,36.76,23.69,16.5,15.82,19.95,15.01,38.72,22.36,43.43,23.81,10.41,18.62,15.43,45.08,27.91,30.91,32.21,16.95,8.64,13.96,9.9,45.16,38.56,22.51,15.21,19.19,17.09,35.15,45.14,12.82,20.71,41.85,26.06,10.63,29.78,8.34,16.28,21.02,52.19,36.13,14.14,9.92,23.26,219.78,542.74,76.76,41.45,43.88,43.51,53.28,52.12,47.08,42.71,43.01,411.99,211.58,58.22,30.88,152.06,48.62,30.96,35.05,28.75,15.38,21.7,13.64,21.03,16.98,20.18,11.82,23.62,50.23,30.88,5.91,22.54,8.39,9.0,16.08,11.56,7.59,25.18,4.56,17.22,6.31,28.23,14.8,16.07,11.17,14.48,8.46,13.24,69.07,18.88,24.62,25.28,10.54,18.84,12.46,9.54,14.11,31.07,30.42,35.06,34.49,21.24,16.96,11.7,38.44,29.72,27.65,57.29,54.59,19.7,25.74,62.6,53.29,30.59,49.16,30.48,41.92,50.56,43.93,73.7,25.09,21.11,29.04,48.2,102.51,56.23,175.1,72.35,78.13,20.18,46.99,27.78,86.56,141.55,117.9,54.95,38.14,22.61,37.33,101.57,37.46,15.77,13.58,34.99,14.28,24.64,22.86,23.07,25.45,33.78,18.87,19.0,15.44,25.37,29.5,25.07,26.45,34.4,89.67,48.02],"USDEUR^JULIAN(P_PRICE_AVG(12/31/2015,12/31/2016).DATES)":42734,"USDEUR^P_PRICE_AVG(12/31/2015,12/31/2016)":0.904291,"USDDKK^P_PRICE_AVG(12/31/2015,12/31/2016)":6.7327547,"NOKUSD^P_PRICE_AVG(12/31/2015,12/31/2016)":0.11907861,"USDRUB^P_PRICE_AVG(12/31/2015,12/31/2016)":67.028114,"SALM-FDS^P_PRICE_AVG(12/31/2015,12/31/2016)":null,"MOWI-NO^JULIAN(P_PRICE_AVG(1/1/2019,12/31/2019,,USD).DATES)":43829,"MOWI-NO^P_PRICE_AVG(1/1/2019,12/31/2019,,USD)":23.634106,"BAKKA-NO^P_PRICE_AVG(1/1/2019,12/31/2019,,USD)":57.02963,"SALM-NO^P_PRICE_AVG(1/1/2019,12/31/2019,,USD)":47.548557,"GSF-NO^P_PRICE_AVG(1/1/2019,12/31/2019,,USD)":13.389102,"LSG-NO^P_PRICE_AVG(1/1/2019,12/31/2019,,USD)":6.9835906,"SALMOCAM-CL^P_PRICE_AVG(1/1/2019,12/31/2019,,USD)":8.480893,"AQUA-RU^P_PRICE_AVG(1/1/2019,12/31/2019,,USD)":3.2139282,"USDEUR^JULIAN(P_PRICE_AVG(12/31/2014,12/31/2015).DATES)":42369,"USDEUR^P_PRICE_AVG(12/31/2014,12/31/2015)":0.9013293,"USDDKK^P_PRICE_AVG(12/31/2014,12/31/2015)":6.7227883,"NOKUSD^P_PRICE_AVG(12/31/2014,12/31/2015)":0.12422568,"USDRUB^P_PRICE_AVG(12/31/2014,12/31/2015)":61.262505,"SALM-FDS^P_PRICE_AVG(12/31/2014,12/31/2015)":null,"SALM-FDS^JULIAN(FG_PRICE(-2AY,0).DATES)":[43707,43711,43712,43713,43714,43717,43718,43719,43720,43721,43724,43725,43726,43727,43728,43731,43732,43733,43734,43735,43738,43739,43740,43741,43742,43745,43746,43747,43748,43749,43752,43753,43754,43755,43756,43759,43760,43761,43762,43763,43766,43767,43768,43769,43770,43773,43774,43775,43776,43777,43780,43781,43782,43783,43784,43787,43788,43789,43790,43791,43794,43795,43796,43798,43801,43802,43803,43804,43805,43808,43809,43810,43811,43812,43815,43816,43817,43818,43819,43822,43823,43825,43826,43829,43830,43832,43833,43836,43837,43838,43839,43840,43843,43844,43845,43846,43847,43851,43852,43853,43854,43857,43858,43859,43860,43861,43864,43865,43866,43867,43868,43871,43872,43873,43874,43875,43879,43880,43881,43882,43885,43886,43887,43888,43889,43892,43893,43894,43895,43896,43899,43900,43901,43902,43903,43906,43907,43908,43909,43910,43913,43914,43915,43916,43917,43920,43921,43922,43923,43924,43927,43928,43929,43930,43934,43935,43936,43937,43938,43941,43942,43943,43944,43945,43948,43949,43950,43951,43952,43955,43956,43957,43958,43959,43962,43963,43964,43965,43966,43969,43970,43971,43972,43973,43977,43978,43979,43980,43983,43984,43985,43986,43987,43990,43991,43992,43993,43994,43997,43998,43999,44000,44001,44004,44005,44006,44007,44008,44011,44012,44013,44014,44018,44019,44020,44021,44022,44025,44026,44027,44028,44029,44032,44033,44034,44035,44036,44039,44040,44041,44042,44043,44046,44047,44048,44049,44050,44053,44054,44055,44056,44057,44060,44061,44062,44063,44064,44067,44068,44069,44070,44071,44074,44075,44076,44077,44078,44082,44083,44084,44085,44088,44089,44090,44091,44092,44095,44096,44097,44098,44099,44102,44103,44104,44105,44106,44109,44110,44111,44112,44113,44116,44117,44118,44119,44120,44123,44124,44125,44126,44127,44130,44131,44132,44133,44134,44137,44138,44139,44140,44141,44144,44145,44146,44147,44148,44151,44152,44153,44154,44155,44158,44159,44160,44162,44165,44166,44167,44168,44169,44172,44173,44174,44175,44176,44179,44180,44181,44182,44183,44186,44187,44188,44189,44193,44194,44195,44196,44200,44201,44202,44203,44204,44207,44208,44209,44210,44211,44215,44216,44217,44218,44221,44222,44223,44224,44225,44228,44229,44230,44231,44232,44235,44236,44237,44238,44239,44243,44244,44245,44246,44249,44250,44251,44252,44253,44256,44257,44258,44259,44260,44263,44264,44265,44266,44267,44270,44271,44272,44273,44274,44277,44278,44279,44280,44281,44284,44285,44286,44287,44291,44292,44293,44294,44295,44298,44299,44300,44301,44302,44305,44306,44307,44308,44309,44312,44313,44314,44315,44316,44319,44320,44321,44322,44323,44326,44327,44328,44329,44330,44333,44334,44335,44336,44337,44340,44341,44342,44343,44344,44348,44349,44350,44351,44354,44355,44356,44357,44358,44361,44362,44363,44364,44365,44368,44369,44370,44371,44372,44375,44376,44377,44378,44379,44383,44384,44385,44386,44389,44390,44391,44392,44393,44396,44397,44398,44399,44400,44403,44404,44405,44406,44407,44410,44411,44412,44413,44414,44417,44418,44419,44420,44421,44424,44425,44426,44427,44428,44431,44432,44433,44434,44435,44438,44439],"SALM-FDS^FG_PRICE(-2AY,0)":[49.97,49.97,49.97,49.97,46.2,46.2,46.2,46.2,46.2,42.79,42.79,42.79,42.79,42.79,42.01,42.01,42.01,42.01,42.01,41.96,41.96,41.96,41.96,41.96,40.5,40.5,40.5,40.5,40.5,45.7,45.7,45.7,45.7,45.7,51.2,51.2,51.2,51.2,51.2,50.62,50.62,50.62,50.62,50.62,47.24,47.24,47.24,47.24,47.24,49.83,49.83,49.83,49.83,49.83,55.56,55.56,55.56,55.56,55.56,60.33,60.33,60.33,60.33,61.87,61.87,61.87,61.87,61.87,62.28,62.28,62.28,62.28,62.28,68.77,68.77,68.77,68.77,68.77,73.35,73.35,73.35,73.35,77.82,77.82,77.82,77.82,79.1,79.1,79.1,79.1,79.1,79.19,79.19,79.19,79.19,79.19,77.71,77.71,77.71,77.71,77.6,77.6,77.6,77.6,77.6,68.67,68.67,68.67,68.67,68.67,64.29,64.29,64.29,64.29,64.29,62.08,62.08,62.08,62.08,68.09,68.09,68.09,68.09,68.09,74.23,74.23,74.23,74.23,74.23,67.07,67.07,67.07,67.07,67.07,66.94,66.94,66.94,66.94,66.94,58.89,58.89,58.89,58.89,58.89,54.39,54.39,54.39,54.39,54.39,52.04,52.04,52.04,52.04,52.04,52.74,52.74,52.74,52.74,51.98,51.98,51.98,51.98,51.98,51.7,51.7,51.7,51.7,51.7,48.84,48.84,48.84,48.84,48.84,48.61,48.61,48.61,48.61,48.61,55.35,55.35,55.35,55.35,55.35,66.17,66.17,66.17,66.17,64.28,64.28,64.28,64.28,64.28,68.96,68.96,68.96,68.96,68.96,71.17,71.17,71.17,71.17,71.17,60.84,60.84,60.84,60.84,60.84,57.14,57.14,57.14,57.14,57.14,58.82,58.82,58.82,58.82,54.34,54.34,54.34,54.34,54.34,48.07,48.07,48.07,48.07,48.07,46.16,46.16,46.16,46.16,46.16,44.99,44.99,44.99,44.99,44.99,44.79,44.79,44.79,44.79,44.79,48.28,48.28,48.28,48.28,48.28,48.63,48.63,48.63,48.63,48.63,44.98,44.98,44.98,44.98,44.98,45.45,45.45,45.45,45.45,46.27,46.27,46.27,46.27,46.27,43.2,43.2,43.2,43.2,43.2,47.87,47.87,47.87,47.87,47.87,45.69,45.69,45.69,45.69,45.69,43.39,43.39,43.39,43.39,43.39,46.02,46.02,46.02,46.02,46.02,44.11,44.11,44.11,44.11,44.11,41.43,41.43,41.43,41.43,41.43,42.49,42.49,42.49,42.49,42.49,41.7,41.7,41.7,41.7,41.7,44.89,44.89,44.89,44.89,42.52,42.52,42.52,42.52,42.52,40.99,40.99,40.99,40.99,40.99,41.52,41.52,41.52,41.52,41.52,43.11,43.11,43.11,43.11,43.11,46.41,46.41,46.41,46.41,51.49,51.49,51.49,51.49,45.8,45.8,45.8,45.8,45.8,42.67,42.67,42.67,42.67,46.62,46.62,46.62,46.62,46.62,44.73,44.73,44.73,44.73,44.73,44.65,44.65,44.65,44.65,44.65,48.61,48.61,48.61,48.61,48.77,48.77,48.77,48.77,48.77,54.95,54.95,54.95,54.95,54.95,63.41,63.41,63.41,63.41,63.41,62.49,62.49,62.49,62.49,62.49,60.38,60.38,60.38,60.38,60.38,64.03,64.03,64.03,64.03,64.03,68.61,68.61,68.61,68.61,67.06,67.06,67.06,67.06,67.06,60.01,60.01,60.01,60.01,60.01,59.9,59.9,59.9,59.9,59.9,65.5,65.5,65.5,65.5,65.5,66.47,66.47,66.47,66.47,66.47,74.53,74.53,74.53,74.53,74.53,69.83,69.83,69.83,69.83,69.83,62.24,62.24,62.24,62.24,57.08,57.08,57.08,57.08,57.08,56.05,56.05,56.05,56.05,56.05,61.52,61.52,61.52,61.52,61.52,59.09,59.09,59.09,59.09,59.09,57.19,57.19,57.19,57.19,58.82,58.82,58.82,58.82,58.82,64.75,64.75,64.75,64.75,64.75,65.68,65.68,65.68,65.68,65.68,57.32,57.32,57.32,57.32,57.32,55.68,55.68,55.68,55.68,55.68,57.1,57.1,57.1,57.1,57.1,53.51,53.51,53.51,53.51,53.51,53.51,53.51,53.51],"MOWI-NO^JULIAN(P_PRICE_AVG(1/1/2020,12/31/2020,,USD).DATES)":44195,"MOWI-NO^P_PRICE_AVG(1/1/2020,12/31/2020,,USD)":19.645525,"BAKKA-NO^P_PRICE_AVG(1/1/2020,12/31/2020,,USD)":62.573227,"SALM-NO^P_PRICE_AVG(1/1/2020,12/31/2020,,USD)":48.782097,"GSF-NO^P_PRICE_AVG(1/1/2020,12/31/2020,,USD)":10.587678,"LSG-NO^P_PRICE_AVG(1/1/2020,12/31/2020,,USD)":5.923813,"SALMOCAM-CL^P_PRICE_AVG(1/1/2020,12/31/2020,,USD)":6.199429,"AQUA-RU^P_PRICE_AVG(1/1/2020,12/31/2020,,USD)":3.2333992,"NOKRUB^JULIAN(FG_PRICE(-2AY,0,,USD).DATES)":[43707,43710,43711,43712,43713,43714,43717,43718,43719,43720,43721,43724,43725,43726,43727,43728,43731,43732,43733,43734,43735,43738,43739,43740,43741,43742,43745,43746,43747,43748,43749,43752,43753,43754,43755,43756,43759,43760,43761,43762,43763,43766,43767,43768,43769,43770,43773,43774,43775,43776,43777,43780,43781,43782,43783,43784,43787,43788,43789,43790,43791,43794,43795,43796,43797,43798,43801,43802,43803,43804,43805,43808,43809,43810,43811,43812,43815,43816,43817,43818,43819,43822,43823,43824,43825,43826,43829,43830,43831,43832,43833,43836,43837,43838,43839,43840,43843,43844,43845,43846,43847,43850,43851,43852,43853,43854,43857,43858,43859,43860,43861,43864,43865,43866,43867,43868,43871,43872,43873,43874,43875,43878,43879,43880,43881,43882,43885,43886,43887,43888,43889,43892,43893,43894,43895,43896,43899,43900,43901,43902,43903,43906,43907,43908,43909,43910,43913,43914,43915,43916,43917,43920,43921,43922,43923,43924,43927,43928,43929,43930,43931,43934,43935,43936,43937,43938,43941,43942,43943,43944,43945,43948,43949,43950,43951,43952,43955,43956,43957,43958,43959,43962,43963,43964,43965,43966,43969,43970,43971,43972,43973,43976,43977,43978,43979,43980,43983,43984,43985,43986,43987,43990,43991,43992,43993,43994,43997,43998,43999,44000,44001,44004,44005,44006,44007,44008,44011,44012,44013,44014,44015,44018,44019,44020,44021,44022,44025,44026,44027,44028,44029,44032,44033,44034,44035,44036,44039,44040,44041,44042,44043,44046,44047,44048,44049,44050,44053,44054,44055,44056,44057,44060,44061,44062,44063,44064,44067,44068,44069,44070,44071,44074,44075,44076,44077,44078,44081,44082,44083,44084,44085,44088,44089,44090,44091,44092,44095,44096,44097,44098,44099,44102,44103,44104,44105,44106,44109,44110,44111,44112,44113,44116,44117,44118,44119,44120,44123,44124,44125,44126,44127,44130,44131,44132,44133,44134,44137,44138,44139,44140,44141,44144,44145,44146,44147,44148,44151,44152,44153,44154,44155,44158,44159,44160,44161,44162,44165,44166,44167,44168,44169,44172,44173,44174,44175,44176,44179,44180,44181,44182,44183,44186,44187,44188,44189,44190,44193,44194,44195,44196,44197,44200,44201,44202,44203,44204,44207,44208,44209,44210,44211,44214,44215,44216,44217,44218,44221,44222,44223,44224,44225,44228,44229,44230,44231,44232,44235,44236,44237,44238,44239,44242,44243,44244,44245,44246,44249,44250,44251,44252,44253,44256,44257,44258,44259,44260,44263,44264,44265,44266,44267,44270,44271,44272,44273,44274,44277,44278,44279,44280,44281,44284,44285,44286,44287,44288,44291,44292,44293,44294,44295,44298,44299,44300,44301,44302,44305,44306,44307,44308,44309,44312,44313,44314,44315,44316,44319,44320,44321,44322,44323,44326,44327,44328,44329,44330,44333,44334,44335,44336,44337,44340,44341,44342,44343,44344,44347,44348,44349,44350,44351,44354,44355,44356,44357,44358,44361,44362,44363,44364,44365,44368,44369,44370,44371,44372,44375,44376,44377,44378,44379,44382,44383,44384,44385,44386,44389,44390,44391,44392,44393,44396,44397,44398,44399,44400,44403,44404,44405,44406,44407,44410,44411,44412,44413,44414,44417,44418,44419,44420,44421,44424,44425,44426,44427,44428,44431,44432,44433,44434,44435,44438,44439],"NOKRUB^FG_PRICE(-2AY,0,,USD)":[7.3148937,7.3209248,7.3488436,7.3180013,7.3320665,7.328398,7.3394475,7.3013797,7.2934666,7.227393,7.165052,7.1262984,7.1835394,7.187422,7.122525,7.0741177,7.0496635,7.0930834,7.1112375,7.096179,7.093663,7.14097,7.153574,7.129031,7.1606307,7.094912,7.1102953,7.1166563,7.0837564,7.0730705,7.064676,7.060006,7.033107,6.9832635,6.9718513,6.9773903,6.9873085,6.9551864,6.974987,7.0141826,6.940226,6.918307,6.917144,6.95092,6.978527,6.975545,6.945076,6.9151306,6.9791927,6.987551,6.9692183,6.986307,7.0099306,6.9976325,6.976387,7.0266104,7.003503,6.999529,6.9905376,6.9769325,6.965192,6.9664307,6.989932,6.981331,6.9837337,6.9785867,7.01328,6.9971747,6.974889,6.977813,6.9608645,6.963948,6.9315066,6.9430943,6.8943353,6.9519234,6.9273553,6.9213786,6.938761,6.9523225,6.95073,6.9556108,6.950869,6.950893,7.007465,7.039946,7.0608587,7.068298,7.0683107,7.03,7.0238996,7.018926,7.0027275,6.950329,6.9010696,6.8604116,6.8875413,6.921855,6.9497175,6.9417853,6.902378,6.898907,6.9014297,6.9043207,6.874774,6.853015,6.892445,6.828357,6.8325777,6.8845606,6.9334655,6.858354,6.8256826,6.8277164,6.8564873,6.899051,6.909268,6.8497815,6.855957,6.854834,6.8716583,6.8574457,6.8743186,6.8577,6.8872366,6.912108,7.015626,6.9750156,6.934697,7.0492363,7.094744,7.1436787,7.0988975,7.141063,7.217063,7.36859,7.819517,7.502513,7.510732,7.326621,7.292033,7.1942234,7.20969,7.2392883,7.0978065,6.8205748,7.1025715,7.119294,7.243533,7.4040008,7.535118,7.5246778,7.440601,7.584347,7.477687,7.3157907,7.2865505,7.3890057,7.351532,7.1939335,7.1939397,7.1677384,7.05154,7.142885,7.088569,7.157274,7.1774035,7.31268,7.0591183,7.0473413,6.9892597,7.053381,7.1411405,7.0775323,7.2360086,7.334524,7.2585506,7.199184,7.244882,7.202979,7.1890836,7.174778,7.2037745,7.2752576,7.228838,7.1887712,7.2034764,7.271219,7.1913447,7.1180553,7.1691227,7.1262417,7.149815,7.181299,7.214513,7.267506,7.211279,7.2169275,7.2433395,7.4194593,7.3591003,7.3813677,7.3960705,7.3518553,7.3121758,7.219834,7.3113894,7.2709513,7.3117795,7.3165827,7.230188,7.2012615,7.2514954,7.2178187,7.134804,7.1658792,7.2360415,7.386172,7.419832,7.3820615,7.5410013,7.619169,7.545011,7.581384,7.5200515,7.5095863,7.53224,7.5700445,7.6271935,7.683731,7.7474775,7.7215667,7.737887,7.788558,7.786449,7.8105516,7.8867135,7.970107,8.005513,8.050424,8.174218,8.035187,8.083265,8.1375065,8.168012,8.147885,8.152421,8.121633,8.252317,8.241517,8.191258,8.292074,8.272156,8.258643,8.262597,8.2618265,8.291951,8.360611,8.4715805,8.410157,8.431531,8.535451,8.402459,8.568531,8.433023,8.411799,8.500799,8.416592,8.356097,8.331206,8.286172,8.347068,8.296663,8.312983,8.279951,8.323988,8.191194,8.147048,8.14718,8.0690775,8.171592,8.327153,8.401548,8.293745,8.318169,8.439773,8.504737,8.416934,8.400498,8.347827,8.377609,8.432384,8.373675,8.424602,8.336794,8.327811,8.337349,8.37526,8.337816,8.304301,8.231668,8.238793,8.426221,8.424107,8.253757,8.315593,8.431603,8.470645,8.38295,8.39711,8.43756,8.423413,8.465616,8.480911,8.451888,8.470022,8.43589,8.417617,8.4333,8.446824,8.455097,8.448329,8.473862,8.575122,8.521834,8.619312,8.637062,8.556634,8.519003,8.502393,8.411437,8.418286,8.361689,8.366871,8.340043,8.2787485,8.396339,8.425294,8.459527,8.494072,8.537439,8.663511,8.636877,8.662733,8.575021,8.575028,8.517723,8.567046,8.7111845,8.638734,8.638702,8.67866,8.705967,8.754842,8.822249,8.814028,8.734887,8.630927,8.668523,8.638768,8.61263,8.6063595,8.635206,8.634423,8.772941,8.8410225,8.833171,8.806189,8.760999,8.824502,8.821594,8.844744,8.770541,8.838531,8.758048,8.732426,8.732926,8.734254,8.7525625,8.702928,8.721561,8.740859,8.744785,8.683261,8.722976,8.764399,8.75652,8.702804,8.741453,8.82769,8.655073,8.652593,8.6887455,8.71607,8.682412,8.677787,8.73839,8.7138605,8.711862,8.701117,8.685278,8.601589,8.57815,8.713201,8.773175,8.6901,8.845477,8.888282,8.927928,8.82695,8.8367815,8.863224,8.898405,8.846726,8.950633,8.950623,8.962567,9.083844,9.133314,9.036273,9.087973,9.120348,9.0590105,9.003998,9.079654,9.043589,9.167028,9.216982,9.176252,9.066878,9.004503,9.02729,9.032072,9.083658,9.0722065,9.036404,9.034779,8.998145,8.949548,8.933886,8.967612,8.998666,8.967075,8.947237,8.836945,8.977074,8.936459,8.986329,8.882764,8.858406,8.757871,8.806085,8.843274,8.818569,8.798609,8.767219,8.81788,8.862431,8.814823,8.732836,8.76687,8.804839,8.7715845,8.7215605,8.669046,8.627365,8.675417,8.668235,8.576153,8.489137,8.342199,8.496035,8.509695,8.532533,8.486473,8.521936,8.462785,8.496975,8.489489,8.509319,8.512211,8.576906,8.567969,8.563577,8.515024,8.544006,8.572062,8.479538,8.485425,8.428514,8.389215,8.341627,8.2404585,8.308227,8.365621,8.293718,8.361405,8.308986,8.331215,8.3702135,8.279501,8.289181,8.279938,8.27472,8.298989,8.270002,8.228488,8.284111,8.318587,8.313188,8.325565,8.299196,8.275282,8.283383,8.224842,8.231271,8.318697,8.355712,8.379043,8.420293,8.43101,8.505098,8.413792],"MOWI-NO^JULIAN(FG_PRICE(0,0,,USD).DATES)":44439,"MOWI-NO^FG_PRICE(0,0,,USD)":26.753662,"BAKKA-NO^FG_PRICE(0,0,,USD)":87.7851,"SALM-NO^FG_PRICE(0,0,,USD)":66.947334,"GSF-NO^FG_PRICE(0,0,,USD)":9.9421625,"LSG-NO^FG_PRICE(0,0,,USD)":8.817567,"SALMOCAM-CL^FG_PRICE(0,0,,USD)":4.742112,"AQUA-RU^FG_PRICE(0,0,,USD)":6.430473,"AQUA-RU^JULIAN(FG_PRICE(1/1/2014,0,CQ).DATES)":[41729,41820,41912,42003,42094,42185,42277,42368,42460,42551,42643,42734,42825,42916,43007,43098,43189,43280,43371,43465,43553,43644,43738,43829,43921,44012,44104,44195,44286,44377],"AQUA-RU^FG_PRICE(1/1/2014,0,CQ)":[27.34501,55.601215,35.93759,50.115814,61.96137,48.29342,40.54825,40.09265,31.345163,31.345163,36.174507,81.91657,55.309635,145.79146,168.57137,157.0,154.0,200.0,155.0,139.0,153.0,221.5,222.0,255.5,233.5,204.0,230.5,261.5,306.0,360.0],"XMICEX00^FG_PRICE(1/1/2014,0,CQ)":[1369.29,1476.38,1411.07,1396.61,1626.18,1654.55,1642.97,1761.36,1871.15,1891.09,1978.0,2232.72,1995.9,1879.5,2077.19,2109.74,2274.62,2295.95,2475.36,2358.5,2497.1,2565.1,2565.1,2565.1,2565.1,2565.1,2565.1,2565.1,2565.1,2565.1],"USDRUB^FG_PRICE(1/1/2014,0,CQ)":[35.1384,34.0524,39.555,60.0,58.12725,55.7149,65.6059,73.035,66.86,63.8775,63.02125,61.04375,56.3419,59.26875,57.5575,57.57125,57.500004,62.7025,65.49505,69.3725,65.6975,63.075,64.8825,62.11125,78.13375,71.2544,77.60125,73.9644,75.51875,73.05375],"MOWI-NO^FG_PRICE(1/1/2014,0,CQ)":[63.333603,83.75,89.9,102.9,92.55,89.9,108.4,119.6,127.5,139.5,143.1,155.7,130.9,142.9,157.5,139.0,157.2,162.2,188.55,182.7,192.5,199.45,209.9,228.2,158.65,182.65,165.85,191.0,212.2,219.0],"BAKKA-NO^FG_PRICE(1/1/2014,0,CQ)":[98.85695,119.327324,138.29987,167.25797,174.24785,209.19728,271.60696,261.4217,320.03687,314.14542,333.2178,342.30466,265.21622,313.94568,365.37128,347.1976,428.3801,451.5466,495.6827,422.5885,426.18326,475.3122,537.0,650.0,494.6,605.5,601.5,612.5,677.5,711.0],"AUSS-NO^FG_PRICE(1/1/2014,0,CQ)":[35.5,40.3,42.7,46.5,43.1,41.1,53.0,54.0,68.0,69.75,67.25,83.75,63.0,71.0,83.0,68.25,78.5,97.8,112.2,106.8,102.0,89.55,86.25,90.05,73.9,79.45,77.7,87.7,103.5,106.8],"ASA-NO^FG_PRICE(1/1/2014,0,CQ)":[null,null,null,null,null,null,null,null,null,null,null,null,null,null,25.5,28.0,34.0,46.0,58.0,69.0,90.5,97.0,106.0,129.0,90.0,125.5,110.0,120.0,120.5,90.9],"ANDF-NO^FG_PRICE(1/1/2014,0,CQ)":[null,null,null,null,null,null,null,null,null,null,null,null,null,null,null,null,null,null,null,null,null,null,29.0,50.0,32.0,50.0,51.49,55.0,54.5,44.15],"SALM-NO^FG_PRICE(1/1/2014,0,CQ)":[85.75,107.0,113.5,127.5,116.0,115.0,134.5,155.0,203.0,247.1,244.0,258.1,185.2,207.1,225.0,246.8,321.2,341.8,406.2,428.0,413.8,370.9,399.0,449.3,347.4,459.1,529.0,503.6,590.0,571.2],"GSF-NO^FG_PRICE(1/1/2014,0,CQ)":[23.9,28.8,28.5,28.5,23.2,26.7,28.7,31.0,43.0,54.0,63.75,81.7,64.45,58.2,78.4,72.25,72.2,85.9,107.5,102.3,104.6,118.3,111.2,140.3,96.7,98.45,85.4,85.0,84.65,88.7],"LSG-NO^FG_PRICE(1/1/2014,0,CQ)":[19.45,22.4,24.75,27.300001,23.5,25.6,30.6,33.0,39.100002,39.3,40.39,48.11,37.600002,45.35,50.95,43.98,48.5,54.88,66.42,65.94,62.56,56.44,55.26,58.3,51.14,57.76,53.6,60.56,73.1,75.48],"SALMOCAM-CL^FG_PRICE(1/1/2014,0,CQ)":[null,null,null,null,null,null,null,null,null,null,null,null,null,null,null,null,3900.0,4500.0,5650.0,6450.0,6350.0,5930.0,5200.4,6350.0,4192.5,4708.9,4540.9,4514.6,5884.3,4282.8],"USDNOK^FG_PRICE(1/1/2014,0,CQ)":[5.98705,6.1363,6.42275,7.49755,8.0591,7.8675,8.53,8.85135,8.27125,8.36795,7.9923,8.6077,8.5889,8.37665,7.9603,8.17935,7.850941,8.1504,8.1433,8.65915,8.6116,8.52605,9.08595,8.7873,10.501,9.647,9.3566,8.56195,8.53635,8.6052],"1333-JP^FG_PRICE(1/1/2014,0,CQ)":[null,1655.0,1634.0,1808.0,1694.0,1979.0,1717.0,2137.0,2099.0,2786.0,2737.0,3155.0,3370.0,2968.0,3310.0,3400.0,3400.0,4455.0,4190.0,3695.0,3960.0,3165.0,2724.0,2795.0,2258.0,2207.0,2412.0,2220.0,2625.0,2361.0],"1332-JP^FG_PRICE(1/1/2014,0,CQ)":[217.0,313.0,289.0,377.0,365.0,350.0,356.0,679.0,547.0,524.0,433.0,562.0,555.0,657.0,629.0,589.0,552.0,546.0,740.0,614.0,845.0,668.0,611.0,652.0,478.0,468.0,447.0,426.0,532.0,529.0],"USDJPY^FG_PRICE(1/1/2014,0,CQ)":[102.985,101.305,109.695,119.895,119.925,122.365,119.765,120.295,112.395,102.59,101.265,116.635,111.43,112.36,112.565,112.65,106.35002,110.765,113.585,109.715,110.685,107.74,108.075,108.675,107.955,107.885,105.53,103.245,110.5,110.99],"SALM-FDS^FG_PRICE(1/1/2014,0,CQ)":[44.01,32.56,33.23,43.39,37.53,39.17,38.21,53.8,67.82,71.35,54.51,79.22,62.96,69.47,55.06,52.31,76.71,55.06,57.44,65.73,63.73,55.61,41.96,77.82,54.39,57.14,47.87,46.41,64.03,59.09],"USDCLP^FG_PRICE(1/1/2014,0,CQ)":[550.74,553.67,597.37,606.85,623.4,639.53,697.67,708.6,668.86,662.065,658.91,669.785,662.105,664.725,639.13,614.98,603.56506,651.045,659.6,694.0,680.475,678.95,728.205,751.95,852.32,820.6,787.82,710.5,718.4,728.11],"NOKRUB^FG_PRICE(1/1/2014,0,CQ)":[5.869067,5.5493374,6.158577,8.002614,7.212623,7.081652,7.6911964,8.251285,8.083422,7.6335893,7.8852463,7.0917606,6.5598507,7.075472,7.230569,7.0386095,7.323963,7.69318,8.042814,8.011467,7.6289544,7.3979163,7.14097,7.068298,7.440601,7.386172,8.293745,8.638734,8.846726,8.489489],"AQUA-RU^PROPER(CONVERT_DATE(FE_TIMESERIES_PERIOD(,2016,2025,FY,'DISPLAY=YYYYMMDD'),\"MMM 'YY\"))":["Dec '16","Dec '17","Dec '18","Dec '19","Dec '20","Dec '21","Dec '22","Dec '23","Dec '24","Dec '25"],"AQUA-RU^FE_TIMESERIES(EPS,MEAN,2016,2025,FY,'BKRACTMED=1,WIN=0,UNITS=AUTO,DATE=NOW')":[null,null,null,null,38.8,50.2,62.3,80.1,null,null],"AQUA-RU^FE_TIMESERIES(SALES,MEAN,2016,2025,FY,'BKRACTMED=1,WIN=0,UNITS=AUTO,DATE=NOW')":[null,null,null,null,8336.0,13682.0,14981.0,17201.0,null,null],"AQUA-RU^FE_TIMESERIES(COS,MEAN,2016,2025,FY,'BKRACTMED=1,WIN=0,UNITS=AUTO,DATE=NOW')":[null,null,null,null,4997.0,8509.0,9382.0,10578.0,null,null],"AQUA-RU^FE_TIMESERIES(GROSSINCOME,MEAN,2016,2025,FY,'BKRACTMED=1,WIN=0,UNITS=AUTO,DATE=NOW')":[null,null,null,null,3795.0,5970.0,7048.0,8673.0,null,null],"AQUA-RU^FE_TIMESERIES(EBITDA,MEAN,2016,2025,FY,'BKRACTMED=1,WIN=0,UNITS=AUTO,DATE=NOW')":[null,null,null,null,3375.0,4913.0,5557.0,6649.0,null,null],"AQUA-RU^FE_TIMESERIES(DEPR_AMORT,MEAN,2016,2025,FY,'BKRACTMED=1,WIN=0,UNITS=AUTO,DATE=NOW')":[null,null,null,null,499.0,959.0,1160.0,1317.0,null,null],"AQUA-RU^FE_TIMESERIES(EBIT,MEAN,2016,2025,FY,'BKRACTMED=1,WIN=0,UNITS=AUTO,DATE=NOW')":[null,null,null,null,3344.0,4750.0,5845.0,7381.0,null,null],"AQUA-RU^FE_TIMESERIES(PTP,MEAN,2016,2025,FY,'BKRACTMED=1,WIN=0,UNITS=AUTO,DATE=NOW')":[null,null,null,null,3149.0,4327.0,5365.0,6901.0,null,null],"AQUA-RU^FE_TIMESERIES(TAX_EXPENSE,MEAN,2016,2025,FY,'BKRACTMED=1,WIN=0,UNITS=AUTO,DATE=NOW')":[null,null,null,null,36.0,36.0,45.0,57.0,null,null],"AQUA-RU^FE_TIMESERIES(NETPROFIT,MEAN,2016,2025,FY,'BKRACTMED=1,WIN=0,UNITS=AUTO,DATE=NOW')":[null,null,null,null,3113.0,4291.0,5320.0,6844.0,null,null],"AQUA-RU^FE_TIMESERIES(CAPEX,MEAN,2016,2025,FY,'BKRACTMED=1,WIN=0,UNITS=AUTO,DATE=NOW')":[null,null,null,null,1832.0,2731.0,2692.0,2747.0,null,null],"AQUA-RU^FE_TIMESERIES(FCF,MEAN,2016,2025,FY,'BKRACTMED=1,WIN=0,UNITS=AUTO,DATE=NOW')":[null,null,null,null,null,null,null,null,null,null],"AQUA-RU^FE_TIMESERIES(CFI,MEAN,2016,2025,FY,'BKRACTMED=1,WIN=0,UNITS=AUTO,DATE=NOW')":[null,null,null,null,-1851.0,-3164.0,-2766.0,-2821.0,null,null],"AQUA-RU^FE_TIMESERIES(CFF,MEAN,2016,2025,FY,'BKRACTMED=1,WIN=0,UNITS=AUTO,DATE=NOW')":[null,null,null,null,1810.0,350.0,-1600.0,-1700.0,null,null],"AQUA-RU^FE_TIMESERIES(CURRENTASSETS,MEAN,2016,2025,FY,'BKRACTMED=1,WIN=0,UNITS=AUTO,DATE=NOW')":[null,null,null,null,11458.0,13377.0,15360.0,18944.0,null,null],"AQUA-RU^FE_TIMESERIES(CASH_ST,MEAN,2016,2025,FY,'BKRACTMED=1,WIN=0,UNITS=AUTO,DATE=NOW')":[null,null,null,null,628.0,1383.0,1602.0,1776.0,null,null],"AQUA-RU^FE_TIMESERIES(CURRENTLIABILITIES,MEAN,2016,2025,FY,'BKRACTMED=1,WIN=0,UNITS=AUTO,DATE=NOW')":[null,null,null,null,6355.0,6593.0,6679.0,6797.0,null,null],"AQUA-RU^FE_TIMESERIES(TOTASSET,MEAN,2016,2025,FY,'BKRACTMED=1,WIN=0,UNITS=AUTO,DATE=NOW')":[null,null,null,null,19813.0,24693.0,28499.0,33762.0,null,null],"AQUA-RU^FE_TIMESERIES(MINTEREST,MEAN,2016,2025,FY,'BKRACTMED=1,WIN=0,UNITS=AUTO,DATE=NOW')":[null,null,null,null,0.0,0.0,0.0,0.0,null,null],"AQUA-RU^FE_TIMESERIES(SHEQUITY,MEAN,2016,2025,FY,'BKRACTMED=1,WIN=0,UNITS=AUTO,DATE=NOW')":[null,null,null,null,11726.0,14368.0,18088.0,23232.0,null,null],"AQUA-RU^PROPER(CONVERT_DATE(FE_TIMESERIES_PERIOD(,2016,2026,FY,'DISPLAY=YYYYMMDD'),\"MMM 'YY\"))":["Dec '16","Dec '17","Dec '18","Dec '19","Dec '20","Dec '21","Dec '22","Dec '23","Dec '24","Dec '25","Dec '26"],"AQUA-RU^FE_TIMESERIES(EPS,MEAN,2016,2026,FY,'BKRACTMED=1,WIN=0,UNITS=AUTO,DATE=NOW')":[null,null,null,null,38.8,50.2,62.3,80.1,null,null,null],"AQUA-RU^FE_TIMESERIES(NETDIV,MEAN,2016,2026,FY,'BKRACTMED=1,WIN=0,UNITS=AUTO,DATE=NOW')":[null,null,null,null,5.1,17.6,18.7,19.9,null,null,null],"AQUA-RU^FE_TIMESERIES_VALUATION(PE,MEAN,2016,2026,FY,'BKRACTMED=1,WIN=0,UNITS=AUTO,DATE=NOW')":[null,null,null,null,6.739691,9.35259,7.5361156,5.8614235,null,null,null],"AQUA-RU^FE_TIMESERIES_VALUATION(P_SALESPS,MEAN,2016,2026,FY,'BKRACTMED=1,WIN=0,UNITS=AUTO,DATE=NOW')":[null,null,null,null,2.756687,3.0155013,2.7540276,2.3985865,null,null,null],"AQUA-RU^FE_TIMESERIES_VALUATION(FFEV_SALES,MEAN,2016,2026,FY,'BKRACTMED=1,WIN=0,UNITS=AUTO,DATE=NOW')":[null,null,null,null,3.1011012,3.4522114,3.1528707,2.745954,null,null,null],"AQUA-RU^FE_TIMESERIES_VALUATION(FFEV_EBITDA,MEAN,2016,2026,FY,'BKRACTMED=1,WIN=0,UNITS=AUTO,DATE=NOW')":[null,null,null,null,7.65949,9.613914,8.499758,7.1037984,null,null,null],"AQUA-RU^FE_TIMESERIES_VALUATION(FFEV_EBIT,MEAN,2016,2026,FY,'BKRACTMED=1,WIN=0,UNITS=AUTO,DATE=NOW')":[null,null,null,null,7.7304964,9.943822,8.080951,6.3992896,null,null,null],"AQUA-RU^FE_TIMESERIES_VALUATION(DIV_YLD,MEAN,2016,2026,FY,'BKRACTMED=1,WIN=0,UNITS=AUTO,DATE=NOW')":[null,null,null,null,1.9502869,3.748669,3.982961,4.2385516,null,null,null],"AQUA-RU^FE_TIMESERIES_VALUATION(SPS,MEAN,2016,2026,FY,'BKRACTMED=1,WIN=0,UNITS=AUTO,DATE=NOW')":[null,null,null,null,94.860245,155.69551,170.4776,195.74028,null,null,null],"AQUA-RU^FE_TIMESERIES_VALUATION(ROA,MEAN,2016,2026,FY,'BKRACTMED=1,WIN=0,UNITS=AUTO,DATE=NOW')":[null,null,null,null,15.711906,17.377394,18.667322,20.27131,null,null,null]}]]></FdsFormulaCache>
</file>

<file path=customXml/itemProps1.xml><?xml version="1.0" encoding="utf-8"?>
<ds:datastoreItem xmlns:ds="http://schemas.openxmlformats.org/officeDocument/2006/customXml" ds:itemID="{C149DB9F-E305-4DE8-BBC3-F3F3CDB490EB}">
  <ds:schemaRefs>
    <ds:schemaRef ds:uri="urn:fdsformulacach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Balance sheet_</vt:lpstr>
      <vt:lpstr>PL</vt:lpstr>
      <vt:lpstr>CF</vt:lpstr>
      <vt:lpstr>Op. metric&amp;Add info</vt:lpstr>
      <vt:lpstr>Лист1</vt:lpstr>
      <vt:lpstr>Benchmarking 2021 9M</vt:lpstr>
      <vt:lpstr>Benchmarking 2020</vt:lpstr>
      <vt:lpstr>Benchmarking 2019</vt:lpstr>
      <vt:lpstr>6М 2016</vt:lpstr>
      <vt:lpstr>2016</vt:lpstr>
      <vt:lpstr>6М 2017</vt:lpstr>
      <vt:lpstr>2017</vt:lpstr>
      <vt:lpstr>6М 2018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Aziz, Kalim</dc:creator>
  <cp:lastModifiedBy>Баранов Андрей</cp:lastModifiedBy>
  <cp:lastPrinted>2021-08-16T15:34:59Z</cp:lastPrinted>
  <dcterms:created xsi:type="dcterms:W3CDTF">2021-06-14T08:41:11Z</dcterms:created>
  <dcterms:modified xsi:type="dcterms:W3CDTF">2026-03-31T08:35:16Z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=fdsSearchOrder">
    <vt:i4>0</vt:i4>
  </property>
</Properties>
</file>